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rnold.TZANEEN\OneDrive - Greater Tzaneen Municipality\Documents\Documents\2022 2023 budget\supporting documents\"/>
    </mc:Choice>
  </mc:AlternateContent>
  <workbookProtection lockRevision="1"/>
  <bookViews>
    <workbookView xWindow="-108" yWindow="-108" windowWidth="19416" windowHeight="10416" tabRatio="826" activeTab="3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EEM!$A$1:$Q$97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08F29437_BBE1_46C0_B84C_12B7ABEF1718_.wvu.Cols" localSheetId="10" hidden="1">'1-10'!$B:$B</definedName>
    <definedName name="Z_08F29437_BBE1_46C0_B84C_12B7ABEF1718_.wvu.Cols" localSheetId="7" hidden="1">BUDGET!$C:$S</definedName>
    <definedName name="Z_08F29437_BBE1_46C0_B84C_12B7ABEF1718_.wvu.Cols" localSheetId="5" hidden="1">CEM!$P:$P</definedName>
    <definedName name="Z_08F29437_BBE1_46C0_B84C_12B7ABEF1718_.wvu.Cols" localSheetId="1" hidden="1">income!$P:$P</definedName>
    <definedName name="Z_08F29437_BBE1_46C0_B84C_12B7ABEF1718_.wvu.Cols" localSheetId="0" hidden="1">mayor!$P:$P</definedName>
    <definedName name="Z_08F29437_BBE1_46C0_B84C_12B7ABEF1718_.wvu.Cols" localSheetId="6" hidden="1">MDC!$J:$J,MDC!$P:$P</definedName>
    <definedName name="Z_08F29437_BBE1_46C0_B84C_12B7ABEF1718_.wvu.Cols" localSheetId="2" hidden="1">workshop!$J:$J,workshop!$P:$P</definedName>
    <definedName name="Z_08F29437_BBE1_46C0_B84C_12B7ABEF1718_.wvu.FilterData" localSheetId="10" hidden="1">'1-10'!$A$1:$AY$100</definedName>
    <definedName name="Z_08F29437_BBE1_46C0_B84C_12B7ABEF1718_.wvu.FilterData" localSheetId="11" hidden="1">'new veh 2012'!$A$1:$J$95</definedName>
    <definedName name="Z_08F29437_BBE1_46C0_B84C_12B7ABEF1718_.wvu.FilterData" localSheetId="9" hidden="1">orig!$A$1:$AN$198</definedName>
    <definedName name="Z_08F29437_BBE1_46C0_B84C_12B7ABEF1718_.wvu.FilterData" localSheetId="13" hidden="1">stbk!$A$1:$G$199</definedName>
    <definedName name="Z_08F29437_BBE1_46C0_B84C_12B7ABEF1718_.wvu.PrintArea" localSheetId="7" hidden="1">BUDGET!$A$1:$B$76</definedName>
    <definedName name="Z_08F29437_BBE1_46C0_B84C_12B7ABEF1718_.wvu.PrintArea" localSheetId="5" hidden="1">CEM!$A$1:$Q$145</definedName>
    <definedName name="Z_08F29437_BBE1_46C0_B84C_12B7ABEF1718_.wvu.PrintArea" localSheetId="3" hidden="1">'COMMUNITY SERV'!$A$1:$Q$102</definedName>
    <definedName name="Z_08F29437_BBE1_46C0_B84C_12B7ABEF1718_.wvu.PrintArea" localSheetId="4" hidden="1">EEM!$A$1:$Q$97</definedName>
    <definedName name="Z_08F29437_BBE1_46C0_B84C_12B7ABEF1718_.wvu.PrintArea" localSheetId="1" hidden="1">income!$A$1:$Q$16</definedName>
    <definedName name="Z_08F29437_BBE1_46C0_B84C_12B7ABEF1718_.wvu.PrintArea" localSheetId="0" hidden="1">mayor!$A$1:$Q$42</definedName>
    <definedName name="Z_08F29437_BBE1_46C0_B84C_12B7ABEF1718_.wvu.PrintArea" localSheetId="6" hidden="1">MDC!$A$1:$Q$90</definedName>
    <definedName name="Z_08F29437_BBE1_46C0_B84C_12B7ABEF1718_.wvu.PrintArea" localSheetId="2" hidden="1">workshop!$A$1:$Q$20</definedName>
    <definedName name="Z_08F29437_BBE1_46C0_B84C_12B7ABEF1718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08F29437_BBE1_46C0_B84C_12B7ABEF1718_.wvu.Rows" localSheetId="5" hidden="1">CEM!$140:$140</definedName>
    <definedName name="Z_08F29437_BBE1_46C0_B84C_12B7ABEF1718_.wvu.Rows" localSheetId="6" hidden="1">MDC!$67:$73</definedName>
    <definedName name="Z_08F29437_BBE1_46C0_B84C_12B7ABEF1718_.wvu.Rows" localSheetId="11" hidden="1">'new veh 2012'!$96:$97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EEM!$A$1:$Q$97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C0BD6A7_6718_429D_82D9_D2FE0341EA2C_.wvu.Cols" localSheetId="10" hidden="1">'1-10'!$B:$B</definedName>
    <definedName name="Z_6C0BD6A7_6718_429D_82D9_D2FE0341EA2C_.wvu.Cols" localSheetId="7" hidden="1">BUDGET!$C:$S</definedName>
    <definedName name="Z_6C0BD6A7_6718_429D_82D9_D2FE0341EA2C_.wvu.Cols" localSheetId="4" hidden="1">EEM!$P:$P</definedName>
    <definedName name="Z_6C0BD6A7_6718_429D_82D9_D2FE0341EA2C_.wvu.Cols" localSheetId="1" hidden="1">income!$P:$P</definedName>
    <definedName name="Z_6C0BD6A7_6718_429D_82D9_D2FE0341EA2C_.wvu.Cols" localSheetId="0" hidden="1">mayor!$P:$P</definedName>
    <definedName name="Z_6C0BD6A7_6718_429D_82D9_D2FE0341EA2C_.wvu.Cols" localSheetId="6" hidden="1">MDC!$J:$J,MDC!$P:$P</definedName>
    <definedName name="Z_6C0BD6A7_6718_429D_82D9_D2FE0341EA2C_.wvu.Cols" localSheetId="2" hidden="1">workshop!$J:$J,workshop!$P:$P</definedName>
    <definedName name="Z_6C0BD6A7_6718_429D_82D9_D2FE0341EA2C_.wvu.FilterData" localSheetId="10" hidden="1">'1-10'!$A$1:$AY$100</definedName>
    <definedName name="Z_6C0BD6A7_6718_429D_82D9_D2FE0341EA2C_.wvu.FilterData" localSheetId="11" hidden="1">'new veh 2012'!$A$1:$J$95</definedName>
    <definedName name="Z_6C0BD6A7_6718_429D_82D9_D2FE0341EA2C_.wvu.FilterData" localSheetId="9" hidden="1">orig!$A$1:$AN$198</definedName>
    <definedName name="Z_6C0BD6A7_6718_429D_82D9_D2FE0341EA2C_.wvu.FilterData" localSheetId="13" hidden="1">stbk!$A$1:$G$199</definedName>
    <definedName name="Z_6C0BD6A7_6718_429D_82D9_D2FE0341EA2C_.wvu.PrintArea" localSheetId="7" hidden="1">BUDGET!$A$1:$B$76</definedName>
    <definedName name="Z_6C0BD6A7_6718_429D_82D9_D2FE0341EA2C_.wvu.PrintArea" localSheetId="5" hidden="1">CEM!$A$1:$Q$145</definedName>
    <definedName name="Z_6C0BD6A7_6718_429D_82D9_D2FE0341EA2C_.wvu.PrintArea" localSheetId="3" hidden="1">'COMMUNITY SERV'!$A$1:$Q$102</definedName>
    <definedName name="Z_6C0BD6A7_6718_429D_82D9_D2FE0341EA2C_.wvu.PrintArea" localSheetId="4" hidden="1">EEM!$A$1:$Q$97</definedName>
    <definedName name="Z_6C0BD6A7_6718_429D_82D9_D2FE0341EA2C_.wvu.PrintArea" localSheetId="1" hidden="1">income!$A$1:$Q$16</definedName>
    <definedName name="Z_6C0BD6A7_6718_429D_82D9_D2FE0341EA2C_.wvu.PrintArea" localSheetId="0" hidden="1">mayor!$A$1:$Q$42</definedName>
    <definedName name="Z_6C0BD6A7_6718_429D_82D9_D2FE0341EA2C_.wvu.PrintArea" localSheetId="6" hidden="1">MDC!$A$1:$Q$90</definedName>
    <definedName name="Z_6C0BD6A7_6718_429D_82D9_D2FE0341EA2C_.wvu.PrintArea" localSheetId="2" hidden="1">workshop!$A$1:$Q$20</definedName>
    <definedName name="Z_6C0BD6A7_6718_429D_82D9_D2FE0341EA2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C0BD6A7_6718_429D_82D9_D2FE0341EA2C_.wvu.Rows" localSheetId="5" hidden="1">CEM!$140:$140</definedName>
    <definedName name="Z_6C0BD6A7_6718_429D_82D9_D2FE0341EA2C_.wvu.Rows" localSheetId="6" hidden="1">MDC!$67:$73</definedName>
    <definedName name="Z_6C0BD6A7_6718_429D_82D9_D2FE0341EA2C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5" hidden="1">CEM!$P:$P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EEM!$A$1:$Q$97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62913"/>
  <customWorkbookViews>
    <customWorkbookView name="Arnold Mathebula - Personal View" guid="{08F29437-BBE1-46C0-B84C-12B7ABEF1718}" mergeInterval="0" personalView="1" maximized="1" xWindow="-9" yWindow="-9" windowWidth="1938" windowHeight="1048" tabRatio="826" activeSheetId="4"/>
    <customWorkbookView name="tendani - Personal View" guid="{6C0BD6A7-6718-429D-82D9-D2FE0341EA2C}" mergeInterval="0" personalView="1" xWindow="80" yWindow="7" windowWidth="1280" windowHeight="721" tabRatio="826" activeSheetId="6"/>
    <customWorkbookView name="Lydia Du Plessis - Personal View" guid="{594C4AB0-8D5F-4373-9663-410F4413FE3A}" mergeInterval="0" personalView="1" maximized="1" xWindow="-8" yWindow="-8" windowWidth="1936" windowHeight="1056" tabRatio="826" activeSheetId="6"/>
    <customWorkbookView name="Andre A. Le Grange - Personal View" guid="{DF69299D-7752-4436-A45D-28F739CEE21B}" mergeInterval="0" personalView="1" maximized="1" xWindow="-11" yWindow="-11" windowWidth="1942" windowHeight="1042" tabRatio="826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6" l="1"/>
  <c r="A8" i="6"/>
  <c r="A13" i="6"/>
  <c r="A14" i="6"/>
  <c r="A15" i="6"/>
  <c r="A20" i="6"/>
  <c r="A21" i="6"/>
  <c r="A22" i="6"/>
  <c r="A27" i="6"/>
  <c r="A28" i="6"/>
  <c r="A29" i="6"/>
  <c r="A30" i="6"/>
  <c r="A35" i="6"/>
  <c r="A40" i="6"/>
  <c r="A46" i="6"/>
  <c r="A47" i="6"/>
  <c r="A59" i="6"/>
  <c r="A60" i="6"/>
  <c r="A65" i="6"/>
  <c r="A66" i="6"/>
  <c r="A71" i="6"/>
  <c r="A72" i="6"/>
  <c r="A77" i="6"/>
  <c r="A78" i="6"/>
  <c r="A79" i="6"/>
  <c r="A80" i="6"/>
  <c r="E46" i="5"/>
  <c r="E45" i="5"/>
  <c r="E44" i="5"/>
  <c r="E43" i="5"/>
  <c r="E42" i="5"/>
  <c r="G46" i="5"/>
  <c r="G45" i="5"/>
  <c r="G44" i="5"/>
  <c r="G43" i="5"/>
  <c r="G42" i="5"/>
  <c r="M42" i="5" l="1"/>
  <c r="M46" i="5"/>
  <c r="M44" i="5"/>
  <c r="M43" i="5"/>
  <c r="M45" i="5"/>
  <c r="I68" i="4"/>
  <c r="I67" i="4"/>
  <c r="I66" i="4"/>
  <c r="I21" i="4"/>
  <c r="I20" i="4"/>
  <c r="I14" i="4"/>
  <c r="I13" i="4"/>
  <c r="I15" i="3"/>
  <c r="I10" i="3"/>
  <c r="I8" i="3"/>
  <c r="I9" i="2"/>
  <c r="I34" i="1"/>
  <c r="I22" i="1"/>
  <c r="I9" i="1"/>
  <c r="I8" i="1"/>
  <c r="I15" i="1"/>
  <c r="G66" i="4"/>
  <c r="K15" i="1" l="1"/>
  <c r="H15" i="1"/>
  <c r="K8" i="1"/>
  <c r="H8" i="1"/>
  <c r="H44" i="7" l="1"/>
  <c r="H39" i="7"/>
  <c r="H34" i="7"/>
  <c r="H29" i="7"/>
  <c r="H30" i="7" s="1"/>
  <c r="H80" i="6"/>
  <c r="H79" i="6"/>
  <c r="H78" i="6"/>
  <c r="H77" i="6"/>
  <c r="H72" i="6"/>
  <c r="H71" i="6"/>
  <c r="H66" i="6"/>
  <c r="H65" i="6"/>
  <c r="H60" i="6"/>
  <c r="H59" i="6"/>
  <c r="H54" i="6"/>
  <c r="H53" i="6"/>
  <c r="H47" i="6"/>
  <c r="H46" i="6"/>
  <c r="H40" i="6"/>
  <c r="H35" i="6"/>
  <c r="H30" i="6"/>
  <c r="H80" i="5"/>
  <c r="H74" i="5"/>
  <c r="H73" i="5"/>
  <c r="H47" i="5"/>
  <c r="H41" i="5"/>
  <c r="H40" i="5"/>
  <c r="H39" i="5"/>
  <c r="H38" i="5"/>
  <c r="H35" i="5"/>
  <c r="H31" i="5"/>
  <c r="H30" i="5"/>
  <c r="H7" i="5"/>
  <c r="H96" i="4"/>
  <c r="H91" i="4"/>
  <c r="H89" i="4"/>
  <c r="H90" i="4"/>
  <c r="K27" i="4" l="1"/>
  <c r="K21" i="4"/>
  <c r="K20" i="4"/>
  <c r="K14" i="4"/>
  <c r="K13" i="4"/>
  <c r="K16" i="1"/>
  <c r="H16" i="1"/>
  <c r="K9" i="1"/>
  <c r="H9" i="1"/>
  <c r="H62" i="7" l="1"/>
  <c r="H50" i="7"/>
  <c r="H83" i="7"/>
  <c r="H77" i="7"/>
  <c r="T148" i="6"/>
  <c r="T147" i="6"/>
  <c r="S149" i="6"/>
  <c r="T149" i="6" s="1"/>
  <c r="AA74" i="8"/>
  <c r="AA73" i="8"/>
  <c r="AA76" i="8" s="1"/>
  <c r="G83" i="7" l="1"/>
  <c r="G77" i="7"/>
  <c r="G62" i="7"/>
  <c r="H56" i="7"/>
  <c r="G56" i="7"/>
  <c r="G50" i="7"/>
  <c r="G44" i="7"/>
  <c r="G39" i="7"/>
  <c r="G34" i="7"/>
  <c r="G30" i="7"/>
  <c r="G29" i="7"/>
  <c r="G22" i="7"/>
  <c r="G24" i="7"/>
  <c r="G23" i="7"/>
  <c r="G16" i="7"/>
  <c r="G15" i="7"/>
  <c r="G14" i="7"/>
  <c r="G13" i="7"/>
  <c r="G12" i="7"/>
  <c r="G11" i="7"/>
  <c r="G10" i="7"/>
  <c r="G9" i="7"/>
  <c r="G8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G79" i="6"/>
  <c r="G78" i="6"/>
  <c r="G77" i="6"/>
  <c r="G72" i="6"/>
  <c r="G71" i="6"/>
  <c r="G66" i="6"/>
  <c r="G65" i="6"/>
  <c r="G60" i="6"/>
  <c r="G59" i="6"/>
  <c r="G54" i="6"/>
  <c r="G53" i="6"/>
  <c r="G46" i="6"/>
  <c r="G47" i="6"/>
  <c r="G40" i="6"/>
  <c r="H36" i="6"/>
  <c r="G36" i="6"/>
  <c r="G35" i="6"/>
  <c r="G30" i="6"/>
  <c r="G29" i="6"/>
  <c r="G28" i="6"/>
  <c r="G27" i="6"/>
  <c r="G22" i="6"/>
  <c r="G21" i="6"/>
  <c r="G20" i="6"/>
  <c r="G13" i="6"/>
  <c r="G15" i="6"/>
  <c r="G14" i="6"/>
  <c r="G8" i="6"/>
  <c r="G7" i="6"/>
  <c r="G86" i="5"/>
  <c r="H92" i="5"/>
  <c r="G92" i="5"/>
  <c r="H90" i="5"/>
  <c r="G90" i="5"/>
  <c r="H89" i="5"/>
  <c r="G89" i="5"/>
  <c r="H88" i="5"/>
  <c r="G88" i="5"/>
  <c r="H87" i="5"/>
  <c r="G87" i="5"/>
  <c r="H86" i="5"/>
  <c r="G80" i="5"/>
  <c r="G74" i="5"/>
  <c r="G73" i="5"/>
  <c r="G67" i="5"/>
  <c r="G66" i="5"/>
  <c r="H59" i="5"/>
  <c r="G59" i="5"/>
  <c r="H52" i="5"/>
  <c r="G52" i="5"/>
  <c r="G47" i="5"/>
  <c r="G41" i="5"/>
  <c r="G40" i="5"/>
  <c r="G39" i="5"/>
  <c r="G38" i="5"/>
  <c r="H37" i="5"/>
  <c r="G37" i="5"/>
  <c r="H36" i="5"/>
  <c r="G36" i="5"/>
  <c r="G35" i="5"/>
  <c r="H34" i="5"/>
  <c r="G34" i="5"/>
  <c r="H33" i="5"/>
  <c r="G33" i="5"/>
  <c r="H32" i="5"/>
  <c r="G32" i="5"/>
  <c r="G31" i="5"/>
  <c r="G30" i="5"/>
  <c r="H29" i="5"/>
  <c r="G29" i="5"/>
  <c r="G22" i="5"/>
  <c r="G7" i="5"/>
  <c r="G14" i="5"/>
  <c r="G21" i="5"/>
  <c r="G20" i="5"/>
  <c r="G19" i="5"/>
  <c r="G18" i="5"/>
  <c r="G17" i="5"/>
  <c r="G16" i="5"/>
  <c r="G15" i="5"/>
  <c r="G13" i="5"/>
  <c r="G96" i="4"/>
  <c r="G91" i="4"/>
  <c r="G90" i="4"/>
  <c r="G89" i="4"/>
  <c r="G83" i="4"/>
  <c r="G82" i="4"/>
  <c r="G81" i="4"/>
  <c r="G80" i="4"/>
  <c r="G79" i="4"/>
  <c r="G78" i="4"/>
  <c r="G72" i="4"/>
  <c r="G71" i="4"/>
  <c r="G70" i="4"/>
  <c r="G69" i="4"/>
  <c r="G68" i="4"/>
  <c r="G67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G21" i="4"/>
  <c r="G20" i="4"/>
  <c r="G14" i="4"/>
  <c r="G13" i="4"/>
  <c r="G7" i="4"/>
  <c r="G8" i="3"/>
  <c r="G15" i="3"/>
  <c r="G10" i="3"/>
  <c r="G9" i="3"/>
  <c r="G9" i="2"/>
  <c r="G34" i="1"/>
  <c r="K28" i="1"/>
  <c r="G22" i="1"/>
  <c r="H1" i="1"/>
  <c r="G1" i="1"/>
  <c r="G16" i="1"/>
  <c r="G15" i="1" l="1"/>
  <c r="G8" i="1"/>
  <c r="G9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61" i="5" l="1"/>
  <c r="L54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82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6" i="5"/>
  <c r="L69" i="5"/>
  <c r="L48" i="5"/>
  <c r="L24" i="5"/>
  <c r="L92" i="4"/>
  <c r="L16" i="4"/>
  <c r="L85" i="4"/>
  <c r="L23" i="4"/>
  <c r="L93" i="7" l="1"/>
  <c r="L143" i="6" s="1"/>
  <c r="L105" i="4"/>
  <c r="L139" i="6" s="1"/>
  <c r="L100" i="4"/>
  <c r="L100" i="5"/>
  <c r="L141" i="6" s="1"/>
  <c r="L97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80" i="5"/>
  <c r="E73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80" i="5"/>
  <c r="A80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B47" i="6"/>
  <c r="B46" i="6"/>
  <c r="B35" i="6"/>
  <c r="B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B22" i="6"/>
  <c r="B21" i="6"/>
  <c r="B20" i="6"/>
  <c r="B14" i="6"/>
  <c r="B15" i="6"/>
  <c r="B13" i="6"/>
  <c r="B8" i="6"/>
  <c r="B7" i="6"/>
  <c r="B74" i="5"/>
  <c r="B73" i="5"/>
  <c r="A74" i="5"/>
  <c r="A73" i="5"/>
  <c r="B67" i="5"/>
  <c r="B66" i="5"/>
  <c r="A67" i="5"/>
  <c r="A66" i="5"/>
  <c r="B30" i="5"/>
  <c r="B31" i="5"/>
  <c r="B32" i="5"/>
  <c r="B33" i="5"/>
  <c r="B34" i="5"/>
  <c r="B35" i="5"/>
  <c r="B36" i="5"/>
  <c r="B37" i="5"/>
  <c r="B38" i="5"/>
  <c r="B39" i="5"/>
  <c r="B40" i="5"/>
  <c r="B41" i="5"/>
  <c r="B47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7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B72" i="6"/>
  <c r="B71" i="6"/>
  <c r="B66" i="6"/>
  <c r="B65" i="6"/>
  <c r="B60" i="6"/>
  <c r="B59" i="6"/>
  <c r="J48" i="6"/>
  <c r="E47" i="6"/>
  <c r="E46" i="6"/>
  <c r="E21" i="6"/>
  <c r="D16" i="6"/>
  <c r="K16" i="6"/>
  <c r="P97" i="5"/>
  <c r="E74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74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82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82" i="5"/>
  <c r="O96" i="11"/>
  <c r="O94" i="11"/>
  <c r="L45" i="8"/>
  <c r="L49" i="8" s="1"/>
  <c r="L43" i="8"/>
  <c r="K82" i="5"/>
  <c r="J82" i="5"/>
  <c r="I82" i="5"/>
  <c r="G82" i="5"/>
  <c r="F82" i="5"/>
  <c r="D82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80" i="5"/>
  <c r="C64" i="8"/>
  <c r="B9" i="8"/>
  <c r="M8" i="6"/>
  <c r="J151" i="6" l="1"/>
  <c r="D59" i="8"/>
  <c r="M82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6" i="5"/>
  <c r="K76" i="5"/>
  <c r="J76" i="5"/>
  <c r="H76" i="5"/>
  <c r="G76" i="5"/>
  <c r="F76" i="5"/>
  <c r="D76" i="5"/>
  <c r="J45" i="8" s="1"/>
  <c r="O75" i="5"/>
  <c r="E76" i="5"/>
  <c r="J49" i="8" l="1"/>
  <c r="J47" i="8"/>
  <c r="E23" i="4"/>
  <c r="M20" i="4"/>
  <c r="M27" i="4"/>
  <c r="E29" i="4"/>
  <c r="M73" i="5"/>
  <c r="M76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7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7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9" i="5"/>
  <c r="I45" i="8" s="1"/>
  <c r="D48" i="5"/>
  <c r="D24" i="5"/>
  <c r="D74" i="4"/>
  <c r="D59" i="4"/>
  <c r="D61" i="4" s="1"/>
  <c r="F127" i="1"/>
  <c r="F122" i="2"/>
  <c r="F127" i="3"/>
  <c r="F143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8" i="5"/>
  <c r="G48" i="5"/>
  <c r="H48" i="5"/>
  <c r="I48" i="5"/>
  <c r="K48" i="5"/>
  <c r="E52" i="5"/>
  <c r="E54" i="5" s="1"/>
  <c r="D54" i="5"/>
  <c r="F45" i="8" s="1"/>
  <c r="F54" i="5"/>
  <c r="G54" i="5"/>
  <c r="H54" i="5"/>
  <c r="I54" i="5"/>
  <c r="J54" i="5"/>
  <c r="K54" i="5"/>
  <c r="E59" i="5"/>
  <c r="M59" i="5" s="1"/>
  <c r="D61" i="5"/>
  <c r="G45" i="8" s="1"/>
  <c r="F61" i="5"/>
  <c r="G61" i="5"/>
  <c r="H61" i="5"/>
  <c r="I61" i="5"/>
  <c r="J61" i="5"/>
  <c r="K61" i="5"/>
  <c r="E66" i="5"/>
  <c r="E67" i="5"/>
  <c r="F69" i="5"/>
  <c r="G69" i="5"/>
  <c r="H69" i="5"/>
  <c r="I69" i="5"/>
  <c r="J69" i="5"/>
  <c r="K69" i="5"/>
  <c r="M86" i="5"/>
  <c r="M87" i="5"/>
  <c r="M88" i="5"/>
  <c r="M89" i="5"/>
  <c r="M90" i="5"/>
  <c r="M91" i="5"/>
  <c r="M92" i="5"/>
  <c r="F94" i="5"/>
  <c r="G94" i="5"/>
  <c r="H94" i="5"/>
  <c r="I94" i="5"/>
  <c r="J94" i="5"/>
  <c r="K94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7" i="5" l="1"/>
  <c r="F141" i="6" s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100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100" i="5"/>
  <c r="K100" i="5"/>
  <c r="K141" i="6" s="1"/>
  <c r="D100" i="5"/>
  <c r="D141" i="6" s="1"/>
  <c r="H100" i="5"/>
  <c r="H141" i="6" s="1"/>
  <c r="I100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7" i="5"/>
  <c r="G97" i="5"/>
  <c r="E23" i="6"/>
  <c r="K97" i="5"/>
  <c r="E31" i="6"/>
  <c r="M27" i="6"/>
  <c r="E45" i="8"/>
  <c r="E49" i="8" s="1"/>
  <c r="D97" i="5"/>
  <c r="F100" i="4"/>
  <c r="G100" i="4"/>
  <c r="H97" i="5"/>
  <c r="H100" i="4"/>
  <c r="J70" i="8"/>
  <c r="H58" i="7"/>
  <c r="H90" i="7" s="1"/>
  <c r="D66" i="8"/>
  <c r="B66" i="8" s="1"/>
  <c r="E69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52" i="5"/>
  <c r="M54" i="5" s="1"/>
  <c r="M94" i="5"/>
  <c r="J48" i="5"/>
  <c r="J97" i="5" s="1"/>
  <c r="E30" i="7"/>
  <c r="E61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6" i="5"/>
  <c r="H19" i="12"/>
  <c r="H28" i="12"/>
  <c r="M8" i="3"/>
  <c r="M11" i="3" s="1"/>
  <c r="M67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8" i="5"/>
  <c r="E79" i="7"/>
  <c r="M77" i="7"/>
  <c r="E25" i="7"/>
  <c r="M23" i="7"/>
  <c r="M25" i="7" s="1"/>
  <c r="M61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H142" i="6" s="1"/>
  <c r="J100" i="5"/>
  <c r="J141" i="6" s="1"/>
  <c r="M22" i="3"/>
  <c r="L16" i="2"/>
  <c r="L18" i="2"/>
  <c r="M90" i="7"/>
  <c r="E100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7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8" i="5"/>
  <c r="M22" i="6"/>
  <c r="M23" i="6" s="1"/>
  <c r="M69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100" i="5"/>
  <c r="M130" i="6"/>
  <c r="G145" i="6"/>
  <c r="G151" i="6"/>
  <c r="I145" i="6"/>
  <c r="H151" i="6"/>
  <c r="M41" i="1"/>
  <c r="M11" i="1"/>
  <c r="M51" i="4"/>
  <c r="M97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45" i="5" l="1"/>
  <c r="O45" i="5" s="1"/>
  <c r="N43" i="5"/>
  <c r="O43" i="5" s="1"/>
  <c r="N44" i="5"/>
  <c r="O44" i="5" s="1"/>
  <c r="N46" i="5"/>
  <c r="O46" i="5" s="1"/>
  <c r="N42" i="5"/>
  <c r="O42" i="5" s="1"/>
  <c r="N34" i="1"/>
  <c r="N36" i="1" s="1"/>
  <c r="O36" i="1" s="1"/>
  <c r="Q36" i="1" s="1"/>
  <c r="N16" i="3"/>
  <c r="O16" i="3" s="1"/>
  <c r="Q16" i="3" s="1"/>
  <c r="N115" i="6"/>
  <c r="N89" i="4"/>
  <c r="N10" i="3"/>
  <c r="O10" i="3" s="1"/>
  <c r="N116" i="6"/>
  <c r="N87" i="6"/>
  <c r="N87" i="5"/>
  <c r="O87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7" i="5"/>
  <c r="O47" i="5" s="1"/>
  <c r="N44" i="4"/>
  <c r="O44" i="4" s="1"/>
  <c r="N109" i="6"/>
  <c r="O109" i="6" s="1"/>
  <c r="N91" i="5"/>
  <c r="O91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9" i="5"/>
  <c r="O59" i="5" s="1"/>
  <c r="N41" i="6"/>
  <c r="O41" i="6" s="1"/>
  <c r="Q41" i="6" s="1"/>
  <c r="N90" i="5"/>
  <c r="O90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94" i="5"/>
  <c r="O94" i="5" s="1"/>
  <c r="N29" i="6"/>
  <c r="O29" i="6" s="1"/>
  <c r="N80" i="4"/>
  <c r="O80" i="4" s="1"/>
  <c r="N92" i="5"/>
  <c r="O92" i="5" s="1"/>
  <c r="N21" i="5"/>
  <c r="O21" i="5" s="1"/>
  <c r="N60" i="6"/>
  <c r="O60" i="6" s="1"/>
  <c r="N70" i="4"/>
  <c r="O70" i="4" s="1"/>
  <c r="N52" i="7"/>
  <c r="O52" i="7" s="1"/>
  <c r="N66" i="5"/>
  <c r="O66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7" i="5"/>
  <c r="O67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8" i="5"/>
  <c r="O88" i="5" s="1"/>
  <c r="N77" i="7"/>
  <c r="O77" i="7" s="1"/>
  <c r="N45" i="4"/>
  <c r="O45" i="4" s="1"/>
  <c r="N88" i="6"/>
  <c r="O88" i="6" s="1"/>
  <c r="N74" i="5"/>
  <c r="O74" i="5" s="1"/>
  <c r="N101" i="6"/>
  <c r="O101" i="6" s="1"/>
  <c r="Q101" i="6" s="1"/>
  <c r="N86" i="5"/>
  <c r="O86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82" i="5"/>
  <c r="O82" i="5" s="1"/>
  <c r="N20" i="6"/>
  <c r="N80" i="5"/>
  <c r="O80" i="5" s="1"/>
  <c r="N54" i="5"/>
  <c r="O54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9" i="5"/>
  <c r="O89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6" i="5"/>
  <c r="O76" i="5" s="1"/>
  <c r="N69" i="5"/>
  <c r="O69" i="5" s="1"/>
  <c r="N22" i="1"/>
  <c r="N15" i="1"/>
  <c r="N48" i="5"/>
  <c r="O48" i="5" s="1"/>
  <c r="N9" i="5"/>
  <c r="N18" i="7"/>
  <c r="N52" i="5"/>
  <c r="O52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73" i="5"/>
  <c r="O73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61" i="5"/>
  <c r="O61" i="5" s="1"/>
  <c r="N7" i="6"/>
  <c r="N28" i="1"/>
  <c r="N7" i="4"/>
  <c r="N53" i="6"/>
  <c r="N40" i="7"/>
  <c r="O40" i="7" s="1"/>
  <c r="N74" i="4"/>
  <c r="O34" i="1" l="1"/>
  <c r="Q48" i="5"/>
  <c r="E44" i="8" s="1"/>
  <c r="E46" i="8" s="1"/>
  <c r="Q61" i="5"/>
  <c r="G44" i="8" s="1"/>
  <c r="G46" i="8" s="1"/>
  <c r="Q69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82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6" i="5"/>
  <c r="J44" i="8" s="1"/>
  <c r="J46" i="8" s="1"/>
  <c r="Q58" i="7"/>
  <c r="J63" i="8" s="1"/>
  <c r="Q54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100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7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100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7" i="5"/>
  <c r="C33" i="8"/>
  <c r="C35" i="8" s="1"/>
  <c r="O100" i="4"/>
  <c r="B35" i="8" s="1"/>
  <c r="Q130" i="6"/>
  <c r="O23" i="6"/>
  <c r="Q23" i="6" s="1"/>
  <c r="B46" i="8" l="1"/>
  <c r="S141" i="6"/>
  <c r="T141" i="6" s="1"/>
  <c r="G65" i="8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O148" i="6" s="1"/>
  <c r="P148" i="6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<sst xmlns="http://schemas.openxmlformats.org/spreadsheetml/2006/main" count="3008" uniqueCount="1511">
  <si>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</si>
  <si>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</si>
  <si>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</si>
  <si>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</si>
  <si>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</si>
  <si>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</si>
  <si>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</si>
  <si>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</si>
  <si>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</si>
  <si>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</si>
  <si>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</si>
  <si>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</si>
  <si>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</si>
  <si>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</si>
  <si>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</si>
  <si>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</si>
  <si>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</si>
  <si>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</si>
  <si>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</si>
  <si>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</si>
  <si>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</si>
  <si>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</si>
  <si>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</si>
  <si>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</si>
  <si>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</si>
  <si>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</si>
  <si>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</si>
  <si>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</si>
  <si>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</si>
  <si>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</si>
  <si>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</si>
  <si>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</si>
  <si>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</si>
  <si>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</si>
  <si>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</si>
  <si>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</si>
  <si>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</si>
  <si>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</si>
  <si>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</si>
  <si>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</si>
  <si>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</si>
  <si>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</si>
  <si>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</si>
  <si>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</si>
  <si>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</si>
  <si>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</si>
  <si>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</si>
  <si>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</si>
  <si>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</si>
  <si>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</si>
  <si>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</si>
  <si>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</si>
  <si>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</si>
  <si>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</si>
  <si>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</si>
  <si>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</si>
  <si>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</si>
  <si>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</si>
  <si>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</si>
  <si>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</si>
  <si>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</si>
  <si>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</si>
  <si>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</si>
  <si>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</si>
  <si>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</si>
  <si>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</si>
  <si>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</si>
  <si>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</si>
  <si>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</si>
  <si>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</si>
  <si>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</si>
  <si>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</si>
  <si>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</si>
  <si>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</si>
  <si>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</si>
  <si>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</si>
  <si>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</si>
  <si>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</si>
  <si>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</si>
  <si>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</si>
  <si>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</si>
  <si>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</si>
  <si>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</si>
  <si>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</si>
  <si>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</si>
  <si>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</si>
  <si>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</si>
  <si>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</si>
  <si>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</si>
  <si>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</si>
  <si>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</si>
  <si>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</si>
  <si>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</si>
  <si>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</si>
  <si>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</si>
  <si>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</si>
  <si>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</si>
  <si>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</si>
  <si>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</si>
  <si>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</si>
  <si>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</si>
  <si>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</si>
  <si>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</si>
  <si>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</si>
  <si>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</si>
  <si>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</si>
  <si>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</si>
  <si>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</si>
  <si>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</si>
  <si>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</si>
  <si>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</si>
  <si>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</si>
  <si>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</si>
  <si>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</si>
  <si>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</si>
  <si>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</si>
  <si>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</si>
  <si>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</si>
  <si>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</si>
  <si>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</si>
  <si>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</si>
  <si>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</si>
  <si>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</si>
  <si>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</si>
  <si>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</si>
  <si>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</si>
  <si>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</si>
  <si>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</si>
  <si>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</si>
  <si>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</si>
  <si>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</si>
  <si>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</si>
  <si>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</si>
  <si>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</si>
  <si>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</si>
  <si>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</si>
  <si>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</si>
  <si>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</si>
  <si>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</si>
  <si>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</si>
  <si>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</si>
  <si>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</si>
  <si>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</si>
  <si>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</si>
  <si>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</si>
  <si>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</si>
  <si>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</si>
  <si>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</si>
  <si>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</si>
  <si>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</si>
  <si>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</si>
  <si>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</si>
  <si>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</si>
  <si>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</si>
  <si>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</si>
  <si>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</si>
  <si>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</si>
  <si>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</si>
  <si>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</si>
  <si>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</si>
  <si>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</si>
  <si>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</si>
  <si>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</si>
  <si>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</si>
  <si>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</si>
  <si>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</si>
  <si>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</si>
  <si>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</si>
  <si>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</si>
  <si>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</si>
  <si>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</si>
  <si>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</si>
  <si>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</si>
  <si>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</si>
  <si>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</si>
  <si>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</si>
  <si>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</si>
  <si>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</si>
  <si>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</si>
  <si>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</si>
  <si>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</si>
  <si>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</si>
  <si>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</si>
  <si>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</si>
  <si>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</si>
  <si>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</si>
  <si>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</si>
  <si>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</si>
  <si>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</si>
  <si>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</si>
  <si>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</si>
  <si>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</si>
  <si>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</si>
  <si>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</si>
  <si>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</si>
  <si>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</si>
  <si>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</si>
  <si>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</si>
  <si>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</si>
  <si>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</si>
  <si>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</si>
  <si>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</si>
  <si>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</si>
  <si>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</si>
  <si>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</si>
  <si>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</si>
  <si>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</si>
  <si>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</si>
  <si>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</si>
  <si>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</si>
  <si>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</si>
  <si>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</si>
  <si>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</si>
  <si>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</si>
  <si>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</si>
  <si>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</si>
  <si>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</si>
  <si>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</si>
  <si>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</si>
  <si>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</si>
  <si>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</si>
  <si>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</si>
  <si>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</si>
  <si>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</si>
  <si>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</si>
  <si>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</si>
  <si>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</si>
  <si>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</si>
  <si>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</si>
  <si>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</si>
  <si>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</si>
  <si>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</si>
  <si>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</si>
  <si>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</si>
  <si>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</si>
  <si>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</si>
  <si>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</si>
  <si>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</si>
  <si>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</si>
  <si>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</si>
  <si>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</si>
  <si>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</si>
  <si>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</si>
  <si>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</si>
  <si>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</si>
  <si>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</si>
  <si>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</si>
  <si>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</si>
  <si>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</si>
  <si>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</si>
  <si>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</si>
  <si>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</si>
  <si>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</si>
  <si>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</si>
  <si>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</si>
  <si>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</si>
  <si>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</si>
  <si>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</si>
  <si>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</si>
  <si>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</si>
  <si>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</si>
  <si>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</si>
  <si>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</si>
  <si>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</si>
  <si>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</si>
  <si>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</si>
  <si>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</si>
  <si>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</si>
  <si>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</si>
  <si>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</si>
  <si>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</si>
  <si>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</si>
  <si>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</si>
  <si>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</si>
  <si>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</si>
  <si>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</si>
  <si>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</si>
  <si>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</si>
  <si>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</si>
  <si>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</si>
  <si>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</si>
  <si>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</si>
  <si>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</si>
  <si>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</si>
  <si>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</si>
  <si>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</si>
  <si>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</si>
  <si>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</si>
  <si>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</si>
  <si>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</si>
  <si>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</si>
  <si>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</si>
  <si>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</si>
  <si>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</si>
  <si>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</si>
  <si>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</si>
  <si>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</si>
  <si>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</si>
  <si>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</si>
  <si>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</si>
  <si>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</si>
  <si>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</si>
  <si>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</si>
  <si>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</si>
  <si>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</si>
  <si>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</si>
  <si>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</si>
  <si>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</si>
  <si>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</si>
  <si>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</si>
  <si>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</si>
  <si>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</si>
  <si>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</si>
  <si>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</si>
  <si>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</si>
  <si>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</si>
  <si>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</si>
  <si>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</si>
  <si>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</si>
  <si>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</si>
  <si>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</si>
  <si>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</si>
  <si>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</si>
  <si>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</si>
  <si>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</si>
  <si>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</si>
  <si>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</si>
  <si>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</si>
  <si>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</si>
  <si>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</si>
  <si>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</si>
  <si>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</si>
  <si>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</si>
  <si>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</si>
  <si>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</si>
  <si>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</si>
  <si>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</si>
  <si>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</si>
  <si>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</si>
  <si>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</si>
  <si>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</si>
  <si>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</si>
  <si>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</si>
  <si>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</si>
  <si>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</si>
  <si>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</si>
  <si>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</si>
  <si>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</si>
  <si>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</si>
  <si>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</si>
  <si>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</si>
  <si>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</si>
  <si>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</si>
  <si>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</si>
  <si>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</si>
  <si>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</si>
  <si>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</si>
  <si>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</si>
  <si>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</si>
  <si>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</si>
  <si>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</si>
  <si>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</si>
  <si>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</si>
  <si>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</si>
  <si>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</si>
  <si>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</si>
  <si>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</si>
  <si>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</si>
  <si>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</si>
  <si>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</si>
  <si>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</si>
  <si>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</si>
  <si>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</si>
  <si>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</si>
  <si>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</si>
  <si>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</si>
  <si>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</si>
  <si>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</si>
  <si>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</si>
  <si>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</si>
  <si>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</si>
  <si>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</si>
  <si>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</si>
  <si>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</si>
  <si>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</si>
  <si>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</si>
  <si>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</si>
  <si>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</si>
  <si>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</si>
  <si>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</si>
  <si>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</si>
  <si>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</si>
  <si>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</si>
  <si>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</si>
  <si>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</si>
  <si>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</si>
  <si>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</si>
  <si>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</si>
  <si>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</si>
  <si>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</si>
  <si>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</si>
  <si>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</si>
  <si>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</si>
  <si>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</si>
  <si>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</si>
  <si>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</si>
  <si>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</si>
  <si>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</si>
  <si>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</si>
  <si>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</si>
  <si>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</si>
  <si>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</si>
  <si>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</si>
  <si>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</si>
  <si>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</si>
  <si>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</si>
  <si>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</si>
  <si>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</si>
  <si>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</si>
  <si>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</si>
  <si>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</si>
  <si>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</si>
  <si>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</si>
  <si>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</si>
  <si>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</si>
  <si>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</si>
  <si>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</si>
  <si>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</si>
  <si>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</si>
  <si>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</si>
  <si>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</si>
  <si>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</si>
  <si>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</si>
  <si>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</si>
  <si>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</si>
  <si>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</si>
  <si>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</si>
  <si>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</si>
  <si>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</si>
  <si>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</si>
  <si>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</si>
  <si>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</si>
  <si>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</si>
  <si>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</si>
  <si>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</si>
  <si>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</si>
  <si>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</si>
  <si>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</si>
  <si>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</si>
  <si>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</si>
  <si>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</si>
  <si>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</si>
  <si>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</si>
  <si>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</si>
  <si>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</si>
  <si>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</si>
  <si>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</si>
  <si>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</si>
  <si>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</si>
  <si>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</si>
  <si>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</si>
  <si>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</si>
  <si>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</si>
  <si>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</si>
  <si>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</si>
  <si>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</si>
  <si>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</si>
  <si>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</si>
  <si>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</si>
  <si>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</si>
  <si>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</si>
  <si>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</si>
  <si>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</si>
  <si>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</si>
  <si>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</si>
  <si>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</si>
  <si>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</si>
  <si>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</si>
  <si>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</si>
  <si>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</si>
  <si>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</si>
  <si>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</si>
  <si>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</si>
  <si>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</si>
  <si>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</si>
  <si>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</si>
  <si>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</si>
  <si>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</si>
  <si>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</si>
  <si>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</si>
  <si>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</si>
  <si>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</si>
  <si>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</si>
  <si>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</si>
  <si>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</si>
  <si>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</si>
  <si>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</si>
  <si>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</si>
  <si>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</si>
  <si>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</si>
  <si>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</si>
  <si>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</si>
  <si>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</si>
  <si>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</si>
  <si>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</si>
  <si>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</si>
  <si>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</si>
  <si>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</si>
  <si>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</si>
  <si>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</si>
  <si>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</si>
  <si>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</si>
  <si>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</si>
  <si>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</si>
  <si>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</si>
  <si>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</si>
  <si>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</si>
  <si>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</si>
  <si>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</si>
  <si>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</si>
  <si>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</si>
  <si>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</si>
  <si>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</si>
  <si>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</si>
  <si>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</si>
  <si>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</si>
  <si>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</si>
  <si>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</si>
  <si>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</si>
  <si>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</si>
  <si>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</si>
  <si>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</si>
  <si>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</si>
  <si>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</si>
  <si>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</si>
  <si>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</si>
  <si>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</si>
  <si>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</si>
  <si>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</si>
  <si>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</si>
  <si>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</si>
  <si>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</si>
  <si>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</si>
  <si>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</si>
  <si>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</si>
  <si>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</si>
  <si>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</si>
  <si>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</si>
  <si>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</si>
  <si>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</si>
  <si>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</si>
  <si>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</si>
  <si>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</si>
  <si>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</si>
  <si>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</si>
  <si>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</si>
  <si>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</si>
  <si>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</si>
  <si>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</si>
  <si>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</si>
  <si>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</si>
  <si>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</si>
  <si>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</si>
  <si>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</si>
  <si>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</si>
  <si>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</si>
  <si>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</si>
  <si>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</si>
  <si>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</si>
  <si>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</si>
  <si>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</si>
  <si>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</si>
  <si>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</si>
  <si>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</si>
  <si>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</si>
  <si>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</si>
  <si>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</si>
  <si>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</si>
  <si>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</si>
  <si>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</si>
  <si>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</si>
  <si>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</si>
  <si>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</si>
  <si>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</si>
  <si>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</si>
  <si>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</si>
  <si>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</si>
  <si>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</si>
  <si>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</si>
  <si>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</si>
  <si>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</si>
  <si>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</si>
  <si>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</si>
  <si>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</si>
  <si>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</si>
  <si>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</si>
  <si>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</si>
  <si>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</si>
  <si>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</si>
  <si>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</si>
  <si>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</si>
  <si>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</si>
  <si>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</si>
  <si>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</si>
  <si>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</si>
  <si>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</si>
  <si>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</si>
  <si>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</si>
  <si>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</si>
  <si>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</si>
  <si>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</si>
  <si>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</si>
  <si>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</si>
  <si>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</si>
  <si>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</si>
  <si>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</si>
  <si>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</si>
  <si>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</si>
  <si>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</si>
  <si>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</si>
  <si>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</si>
  <si>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</si>
  <si>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</si>
  <si>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</si>
  <si>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</si>
  <si>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</si>
  <si>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</si>
  <si>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</si>
  <si>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</si>
  <si>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</si>
  <si>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</si>
  <si>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</si>
  <si>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</si>
  <si>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</si>
  <si>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</si>
  <si>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</si>
  <si>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</si>
  <si>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</si>
  <si>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</si>
  <si>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</si>
  <si>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</si>
  <si>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</si>
  <si>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</si>
  <si>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</si>
  <si>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</si>
  <si>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</si>
  <si>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</si>
  <si>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</si>
  <si>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</si>
  <si>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</si>
  <si>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</si>
  <si>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</si>
  <si>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</si>
  <si>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</si>
  <si>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</si>
  <si>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</si>
  <si>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</si>
  <si>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</si>
  <si>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</si>
  <si>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</si>
  <si>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</si>
  <si>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</si>
  <si>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</si>
  <si>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</si>
  <si>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</si>
  <si>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</si>
  <si>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</si>
  <si>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</si>
  <si>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</si>
  <si>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</si>
  <si>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</si>
  <si>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</si>
  <si>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</si>
  <si>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</si>
  <si>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</si>
  <si>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</si>
  <si>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</si>
  <si>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</si>
  <si>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</si>
  <si>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</si>
  <si>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</si>
  <si>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</si>
  <si>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</si>
  <si>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</si>
  <si>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</si>
  <si>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</si>
  <si>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</si>
  <si>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</si>
  <si>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</si>
  <si>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</si>
  <si>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</si>
  <si>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</si>
  <si>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</si>
  <si>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</si>
  <si>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</si>
  <si>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</si>
  <si>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</si>
  <si>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</si>
  <si>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</si>
  <si>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</si>
  <si>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</si>
  <si>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</si>
  <si>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</si>
  <si>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</si>
  <si>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</si>
  <si>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</si>
  <si>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</si>
  <si>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</si>
  <si>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</si>
  <si>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</si>
  <si>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</si>
  <si>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</si>
  <si>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</si>
  <si>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</si>
  <si>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</si>
  <si>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</si>
  <si>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</si>
  <si>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</si>
  <si>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</si>
  <si>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</si>
  <si>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</si>
  <si>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</si>
  <si>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</si>
  <si>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</si>
  <si>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</si>
  <si>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</si>
  <si>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</si>
  <si>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</si>
  <si>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</si>
  <si>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</si>
  <si>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</si>
  <si>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</si>
  <si>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</si>
  <si>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</si>
  <si>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</si>
  <si>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</si>
  <si>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</si>
  <si>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</si>
  <si>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</si>
  <si>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</si>
  <si>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</si>
  <si>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</si>
  <si>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</si>
  <si>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</si>
  <si>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</si>
  <si>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</si>
  <si>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</si>
  <si>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</si>
  <si>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</si>
  <si>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</si>
  <si>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</si>
  <si>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</si>
  <si>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</si>
  <si>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</si>
  <si>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</si>
  <si>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</si>
  <si>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</si>
  <si>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</si>
  <si>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</si>
  <si>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</si>
  <si>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</si>
  <si>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</si>
  <si>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</si>
  <si>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</si>
  <si>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</si>
  <si>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</si>
  <si>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</si>
  <si>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</si>
  <si>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</si>
  <si>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</si>
  <si>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</si>
  <si>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</si>
  <si>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</si>
  <si>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</si>
  <si>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</si>
  <si>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</si>
  <si>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</si>
  <si>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</si>
  <si>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</si>
  <si>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</si>
  <si>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</si>
  <si>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</si>
  <si>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</si>
  <si>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</si>
  <si>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</si>
  <si>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</si>
  <si>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</si>
  <si>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</si>
  <si>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</si>
  <si>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</si>
  <si>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</si>
  <si>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</si>
  <si>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</si>
  <si>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</si>
  <si>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</si>
  <si>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</si>
  <si>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</si>
  <si>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</si>
  <si>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</si>
  <si>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</si>
  <si>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</si>
  <si>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</si>
  <si>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</si>
  <si>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</si>
  <si>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</si>
  <si>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</si>
  <si>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</si>
  <si>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</si>
  <si>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</si>
  <si>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</si>
  <si>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</si>
  <si>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</si>
  <si>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</si>
  <si>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</si>
  <si>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</si>
  <si>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</si>
  <si>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</si>
  <si>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</si>
  <si>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</si>
  <si>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</si>
  <si>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</si>
  <si>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</si>
  <si>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</si>
  <si>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</si>
  <si>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</si>
  <si>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</si>
  <si>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</si>
  <si>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</si>
  <si>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</si>
  <si>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</si>
  <si>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</si>
  <si>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</si>
  <si>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</si>
  <si>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</si>
  <si>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</si>
  <si>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</si>
  <si>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</si>
  <si>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</si>
  <si>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</si>
  <si>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</si>
  <si>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</si>
  <si>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</si>
  <si>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</si>
  <si>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</si>
  <si>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</si>
  <si>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</si>
  <si>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</si>
  <si>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</si>
  <si>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</si>
  <si>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</si>
  <si>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</si>
  <si>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</si>
  <si>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</si>
  <si>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</si>
  <si>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</si>
  <si>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</si>
  <si>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</si>
  <si>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</si>
  <si>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</si>
  <si>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</si>
  <si>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</si>
  <si>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</si>
  <si>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</si>
  <si>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</si>
  <si>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</si>
  <si>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</si>
  <si>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</si>
  <si>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</si>
  <si>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</si>
  <si>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</si>
  <si>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</si>
  <si>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</si>
  <si>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</si>
  <si>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</si>
  <si>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</si>
  <si>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</si>
  <si>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</si>
  <si>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</si>
  <si>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</si>
  <si>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</si>
  <si>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</si>
  <si>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</si>
  <si>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</si>
  <si>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</si>
  <si>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</si>
  <si>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</si>
  <si>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</si>
  <si>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</si>
  <si>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</si>
  <si>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</si>
  <si>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</si>
  <si>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</si>
  <si>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</si>
  <si>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</si>
  <si>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</si>
  <si>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</si>
  <si>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</si>
  <si>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</si>
  <si>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</si>
  <si>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</si>
  <si>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</si>
  <si>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</si>
  <si>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</si>
  <si>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</si>
  <si>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</si>
  <si>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</si>
  <si>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</si>
  <si>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</si>
  <si>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</si>
  <si>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</si>
  <si>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</si>
  <si>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</si>
  <si>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</si>
  <si>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</si>
  <si>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</si>
  <si>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</si>
  <si>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</si>
  <si>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</si>
  <si>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</si>
  <si>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</si>
  <si>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</si>
  <si>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</si>
  <si>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</si>
  <si>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</si>
  <si>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</si>
  <si>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</si>
  <si>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</si>
  <si>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</si>
  <si>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</si>
  <si>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</si>
  <si>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</si>
  <si>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</si>
  <si>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</si>
  <si>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</si>
  <si>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</si>
  <si>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</si>
  <si>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</si>
  <si>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</si>
  <si>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</si>
  <si>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</si>
  <si>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</si>
  <si>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</si>
  <si>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</si>
  <si>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</si>
  <si>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</si>
  <si>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</si>
  <si>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</si>
  <si>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</si>
  <si>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</si>
  <si>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</si>
  <si>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</si>
  <si>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</si>
  <si>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</si>
  <si>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</si>
  <si>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</si>
  <si>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</si>
  <si>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</si>
  <si>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</si>
  <si>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</si>
  <si>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</si>
  <si>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</si>
  <si>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</si>
  <si>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</si>
  <si>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</si>
  <si>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</si>
  <si>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</si>
  <si>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</si>
  <si>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</si>
  <si>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</si>
  <si>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</si>
  <si>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</si>
  <si>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</si>
  <si>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</si>
  <si>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</si>
  <si>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</si>
  <si>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</si>
  <si>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</si>
  <si>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</si>
  <si>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</si>
  <si>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</si>
  <si>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</si>
  <si>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</si>
  <si>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</si>
  <si>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</si>
  <si>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</si>
  <si>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</si>
  <si>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</si>
  <si>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</si>
  <si>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</si>
  <si>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</si>
  <si>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</si>
  <si>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</si>
  <si>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</si>
  <si>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</si>
  <si>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</si>
  <si>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</si>
  <si>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</si>
  <si>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</si>
  <si>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</si>
  <si>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</si>
  <si>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</si>
  <si>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</si>
  <si>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</si>
  <si>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</si>
  <si>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</si>
  <si>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</si>
  <si>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</si>
  <si>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</si>
  <si>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</si>
  <si>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</si>
  <si>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</si>
  <si>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</si>
  <si>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</si>
  <si>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</si>
  <si>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</si>
  <si>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</si>
  <si>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</si>
  <si>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</si>
  <si>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</si>
  <si>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</si>
  <si>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</si>
  <si>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</si>
  <si>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</si>
  <si>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</si>
  <si>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</si>
  <si>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</si>
  <si>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</si>
  <si>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</si>
  <si>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</si>
  <si>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</si>
  <si>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</si>
  <si>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</si>
  <si>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</si>
  <si>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</si>
  <si>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</si>
  <si>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</si>
  <si>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</si>
  <si>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</si>
  <si>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</si>
  <si>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</si>
  <si>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</si>
  <si>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</si>
  <si>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</si>
  <si>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</si>
  <si>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</si>
  <si>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</si>
  <si>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</si>
  <si>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</si>
  <si>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</si>
  <si>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</si>
  <si>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</si>
  <si>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</si>
  <si>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</si>
  <si>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</si>
  <si>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</si>
  <si>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</si>
  <si>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</si>
  <si>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</si>
  <si>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</si>
  <si>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</si>
  <si>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</si>
  <si>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</si>
  <si>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</si>
  <si>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</si>
  <si>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</si>
  <si>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</si>
  <si>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</si>
  <si>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</si>
  <si>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</si>
  <si>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</si>
  <si>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</si>
  <si>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</si>
  <si>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</si>
  <si>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</si>
  <si>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</si>
  <si>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</si>
  <si>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</si>
  <si>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</si>
  <si>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</si>
  <si>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</si>
  <si>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</si>
  <si>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</si>
  <si>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</si>
  <si>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</si>
  <si>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</si>
  <si>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</si>
  <si>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</si>
  <si>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</si>
  <si>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</si>
  <si>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</si>
  <si>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</si>
  <si>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</si>
  <si>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</si>
  <si>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</si>
  <si>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</si>
  <si>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</si>
  <si>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</si>
  <si>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</si>
  <si>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</si>
  <si>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</si>
  <si>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</si>
  <si>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</si>
  <si>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</si>
  <si>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</si>
  <si>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</si>
  <si>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</si>
  <si>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</si>
  <si>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</si>
  <si>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</si>
  <si>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</si>
  <si>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</si>
  <si>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</si>
  <si>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</si>
  <si>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</si>
  <si>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</si>
  <si>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</si>
  <si>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</si>
  <si>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</si>
  <si>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</si>
  <si>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</si>
  <si>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</si>
  <si>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</si>
  <si>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</si>
  <si>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</si>
  <si>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</si>
  <si>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</si>
  <si>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</si>
  <si>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</si>
  <si>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</si>
  <si>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</si>
  <si>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</si>
  <si>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</si>
  <si>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</si>
  <si>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</si>
  <si>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</si>
  <si>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</si>
  <si>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</si>
  <si>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</si>
  <si>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</si>
  <si>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</si>
  <si>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</si>
  <si>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</si>
  <si>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</si>
  <si>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</si>
  <si>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</si>
  <si>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</si>
  <si>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</si>
  <si>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</si>
  <si>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</si>
  <si>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</si>
  <si>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</si>
  <si>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</si>
  <si>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</si>
  <si>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</si>
  <si>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</si>
  <si>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</si>
  <si>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</si>
  <si>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</si>
  <si>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</si>
  <si>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</si>
  <si>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</si>
  <si>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</si>
  <si>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</si>
  <si>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</si>
  <si>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</si>
  <si>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</si>
  <si>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</si>
  <si>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</si>
  <si>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</si>
  <si>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</si>
  <si>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</si>
  <si>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</si>
  <si>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</si>
  <si>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</si>
  <si>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</si>
  <si>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</si>
  <si>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</si>
  <si>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</si>
  <si>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</si>
  <si>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</si>
  <si>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</si>
  <si>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</si>
  <si>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</si>
  <si>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</si>
  <si>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</si>
  <si>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</si>
  <si>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</si>
  <si>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</si>
  <si>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</si>
  <si>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</si>
  <si>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</si>
  <si>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</si>
  <si>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</si>
  <si>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</si>
  <si>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</si>
  <si>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</si>
  <si>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</si>
  <si>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</si>
  <si>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</si>
  <si>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</si>
  <si>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</si>
  <si>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</si>
  <si>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</si>
  <si>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</si>
  <si>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</si>
  <si>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</si>
  <si>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</si>
  <si>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</si>
  <si>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</si>
  <si>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</si>
  <si>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</si>
  <si>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</si>
  <si>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</si>
  <si>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</si>
  <si>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</si>
  <si>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</si>
  <si>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</si>
  <si>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</si>
  <si>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</si>
  <si>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</si>
  <si>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</si>
  <si>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</si>
  <si>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</si>
  <si>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</si>
  <si>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</si>
  <si>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</si>
  <si>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</si>
  <si>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</si>
  <si>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</si>
  <si>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</si>
  <si>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</si>
  <si>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</si>
  <si>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</si>
  <si>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</si>
  <si>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</si>
  <si>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</si>
  <si>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</si>
  <si>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</si>
  <si>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</si>
  <si>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</si>
  <si>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</si>
  <si>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</si>
  <si>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</si>
  <si>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</si>
  <si>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</si>
  <si>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</si>
  <si>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</si>
  <si>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</si>
  <si>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</si>
  <si>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</si>
  <si>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</si>
  <si>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</si>
  <si>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</si>
  <si>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</si>
  <si>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</si>
  <si>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</si>
  <si>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</si>
  <si>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</si>
  <si>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</si>
  <si>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</si>
  <si>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</si>
  <si>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</si>
  <si>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</si>
  <si>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</si>
  <si>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</si>
  <si>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</si>
  <si>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</si>
  <si>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</si>
  <si>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</si>
  <si>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</si>
  <si>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</si>
  <si>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</si>
  <si>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</si>
  <si>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</si>
  <si>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</si>
  <si>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</si>
  <si>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</si>
  <si>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</si>
  <si>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</si>
  <si>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</si>
  <si>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</si>
  <si>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</si>
  <si>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</si>
  <si>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</si>
  <si>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</si>
  <si>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</si>
  <si>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</si>
  <si>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</si>
  <si>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</si>
  <si>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</si>
  <si>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</si>
  <si>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</si>
  <si>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</si>
  <si>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</si>
  <si>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</si>
  <si>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</si>
  <si>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</si>
  <si>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</si>
  <si>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</si>
  <si>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</si>
  <si>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</si>
  <si>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</si>
  <si>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</si>
  <si>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</si>
  <si>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</si>
  <si>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</si>
  <si>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</si>
  <si>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</si>
  <si>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</si>
  <si>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</si>
  <si>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</si>
  <si>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</si>
  <si>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</si>
  <si>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</si>
  <si>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</si>
  <si>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</si>
  <si>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</si>
  <si>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</si>
  <si>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</si>
  <si>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</si>
  <si>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</si>
  <si>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</si>
  <si>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</si>
  <si>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</si>
  <si>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</si>
  <si>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</si>
  <si>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</si>
  <si>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</si>
  <si>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</si>
  <si>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</si>
  <si>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</si>
  <si>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</si>
  <si>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</si>
  <si>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</si>
  <si>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</si>
  <si>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</si>
  <si>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</si>
  <si>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</si>
  <si>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</si>
  <si>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</si>
  <si>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</si>
  <si>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</si>
  <si>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</si>
  <si>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</si>
  <si>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</si>
  <si>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</si>
  <si>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</si>
  <si>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</si>
  <si>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</si>
  <si>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</si>
  <si>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</si>
  <si>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</si>
  <si>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</si>
  <si>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</si>
  <si>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</si>
  <si>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</si>
  <si>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</si>
  <si>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</si>
  <si>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</si>
  <si>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</si>
  <si>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</si>
  <si>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</si>
  <si>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</si>
  <si>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</si>
  <si>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</si>
  <si>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</si>
  <si>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</si>
  <si>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</si>
  <si>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</si>
  <si>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</si>
  <si>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</si>
  <si>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</si>
  <si>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</si>
  <si>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</si>
  <si>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</si>
  <si>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</si>
  <si>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</si>
  <si>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</si>
  <si>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</si>
  <si>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</si>
  <si>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</si>
  <si>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</si>
  <si>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</si>
  <si>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</si>
  <si>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</si>
  <si>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</si>
  <si>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</si>
  <si>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</si>
  <si>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</si>
  <si>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</si>
  <si>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</si>
  <si>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</si>
  <si>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</si>
  <si>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</si>
  <si>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</si>
  <si>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</si>
  <si>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</si>
  <si>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</si>
  <si>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</si>
  <si>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</si>
  <si>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</si>
  <si>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</si>
  <si>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</si>
  <si>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</si>
  <si>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</si>
  <si>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</si>
  <si>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</si>
  <si>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</si>
  <si>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</si>
  <si>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</si>
  <si>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</si>
  <si>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</si>
  <si>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</si>
  <si>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</si>
  <si>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</si>
  <si>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</si>
  <si>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</si>
  <si>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</si>
  <si>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</si>
  <si>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</si>
  <si>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</si>
  <si>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</si>
  <si>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</si>
  <si>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</si>
  <si>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</si>
  <si>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</si>
  <si>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</si>
  <si>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</si>
  <si>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</si>
  <si>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</si>
  <si>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</si>
  <si>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</si>
  <si>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</si>
  <si>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</si>
  <si>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</si>
  <si>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</si>
  <si>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</si>
  <si>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</si>
  <si>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</si>
  <si>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</si>
  <si>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</si>
  <si>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</si>
  <si>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</si>
  <si>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</si>
  <si>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</si>
  <si>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</si>
  <si>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</si>
  <si>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</si>
  <si>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</si>
  <si>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</si>
  <si>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</si>
  <si>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</si>
  <si>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</si>
  <si>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</si>
  <si>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</si>
  <si>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</si>
  <si>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</si>
  <si>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</si>
  <si>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</si>
  <si>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</si>
  <si>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</si>
  <si>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</si>
  <si>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</si>
  <si>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</si>
  <si>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</si>
  <si>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</si>
  <si>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</si>
  <si>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</si>
  <si>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</si>
  <si>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</si>
  <si>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</si>
  <si>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</si>
  <si>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</si>
  <si>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</si>
  <si>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</si>
  <si>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</si>
  <si>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</si>
  <si>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</si>
  <si>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</si>
  <si>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</si>
  <si>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</si>
  <si>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</si>
  <si>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</si>
  <si>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</si>
  <si>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</si>
  <si>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</si>
  <si>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</si>
  <si>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</si>
  <si>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</si>
  <si>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</si>
  <si>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</si>
  <si>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</si>
  <si>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</si>
  <si>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</si>
  <si>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</si>
  <si>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</si>
  <si>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</si>
  <si>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</si>
  <si>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v0190</t>
  </si>
  <si>
    <t>037-056-1043</t>
  </si>
  <si>
    <t>DDC 662 L</t>
  </si>
  <si>
    <t>TRACKING DEVICE</t>
  </si>
  <si>
    <t>ISUZU KB200i 2x4 [036]</t>
  </si>
  <si>
    <t>036</t>
  </si>
  <si>
    <t>NISSAN   NP 300 4X4 [173]</t>
  </si>
  <si>
    <t>FBY 141 L</t>
  </si>
  <si>
    <t>FBY 144 L</t>
  </si>
  <si>
    <t>FBY 146 L</t>
  </si>
  <si>
    <t>FBY 151 L</t>
  </si>
  <si>
    <t>FBY 155 L</t>
  </si>
  <si>
    <t>VEHICLE BUDGET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</si>
</sst>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 * #,##0.00_ ;_ * \-#,##0.00_ ;_ * &quot;-&quot;??_ ;_ @_ "/>
    <numFmt numFmtId="166" formatCode="0_);\(0\)"/>
    <numFmt numFmtId="167" formatCode="#,##0.00_ ;[Red]\-#,##0.00\ "/>
    <numFmt numFmtId="168" formatCode="#,##0;[Red]#,##0"/>
    <numFmt numFmtId="169" formatCode="_(* #,##0_);_(* \(#,##0\);_(* &quot;-&quot;??_);_(@_)"/>
    <numFmt numFmtId="170" formatCode="#,##0_ ;\-#,##0\ "/>
    <numFmt numFmtId="171" formatCode="&quot;R&quot;\ #,##0.00"/>
  </numFmts>
  <fonts count="42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8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8" fontId="4" fillId="0" borderId="1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5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6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8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8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8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8" fontId="4" fillId="4" borderId="10" xfId="0" applyNumberFormat="1" applyFont="1" applyFill="1" applyBorder="1" applyAlignment="1">
      <alignment horizontal="center"/>
    </xf>
    <xf numFmtId="168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8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8" fontId="4" fillId="3" borderId="15" xfId="0" applyNumberFormat="1" applyFont="1" applyFill="1" applyBorder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7" fontId="6" fillId="0" borderId="17" xfId="0" applyNumberFormat="1" applyFont="1" applyBorder="1"/>
    <xf numFmtId="167" fontId="6" fillId="6" borderId="17" xfId="0" applyNumberFormat="1" applyFont="1" applyFill="1" applyBorder="1"/>
    <xf numFmtId="167" fontId="6" fillId="0" borderId="17" xfId="0" applyNumberFormat="1" applyFont="1" applyFill="1" applyBorder="1"/>
    <xf numFmtId="167" fontId="6" fillId="6" borderId="0" xfId="0" applyNumberFormat="1" applyFont="1" applyFill="1" applyBorder="1"/>
    <xf numFmtId="167" fontId="6" fillId="0" borderId="18" xfId="0" applyNumberFormat="1" applyFont="1" applyFill="1" applyBorder="1"/>
    <xf numFmtId="167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7" fontId="6" fillId="7" borderId="17" xfId="0" applyNumberFormat="1" applyFont="1" applyFill="1" applyBorder="1"/>
    <xf numFmtId="167" fontId="6" fillId="7" borderId="17" xfId="0" quotePrefix="1" applyNumberFormat="1" applyFont="1" applyFill="1" applyBorder="1"/>
    <xf numFmtId="167" fontId="6" fillId="6" borderId="17" xfId="0" quotePrefix="1" applyNumberFormat="1" applyFont="1" applyFill="1" applyBorder="1"/>
    <xf numFmtId="167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7" fontId="6" fillId="8" borderId="17" xfId="0" applyNumberFormat="1" applyFont="1" applyFill="1" applyBorder="1"/>
    <xf numFmtId="167" fontId="6" fillId="8" borderId="0" xfId="0" applyNumberFormat="1" applyFont="1" applyFill="1" applyBorder="1"/>
    <xf numFmtId="167" fontId="6" fillId="8" borderId="17" xfId="0" quotePrefix="1" applyNumberFormat="1" applyFont="1" applyFill="1" applyBorder="1"/>
    <xf numFmtId="167" fontId="6" fillId="0" borderId="17" xfId="0" quotePrefix="1" applyNumberFormat="1" applyFont="1" applyFill="1" applyBorder="1"/>
    <xf numFmtId="167" fontId="6" fillId="0" borderId="0" xfId="0" applyNumberFormat="1" applyFont="1" applyFill="1"/>
    <xf numFmtId="0" fontId="6" fillId="0" borderId="0" xfId="0" applyFont="1" applyAlignment="1">
      <alignment horizontal="center"/>
    </xf>
    <xf numFmtId="167" fontId="6" fillId="0" borderId="0" xfId="0" applyNumberFormat="1" applyFont="1"/>
    <xf numFmtId="0" fontId="6" fillId="0" borderId="0" xfId="0" quotePrefix="1" applyFont="1" applyAlignment="1">
      <alignment horizontal="center"/>
    </xf>
    <xf numFmtId="167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6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8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8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1" fontId="11" fillId="0" borderId="24" xfId="0" applyNumberFormat="1" applyFont="1" applyBorder="1"/>
    <xf numFmtId="171" fontId="11" fillId="0" borderId="25" xfId="0" applyNumberFormat="1" applyFont="1" applyBorder="1"/>
    <xf numFmtId="171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1" fontId="11" fillId="0" borderId="28" xfId="0" applyNumberFormat="1" applyFont="1" applyBorder="1"/>
    <xf numFmtId="171" fontId="11" fillId="0" borderId="29" xfId="0" applyNumberFormat="1" applyFont="1" applyBorder="1"/>
    <xf numFmtId="165" fontId="1" fillId="0" borderId="0" xfId="0" applyNumberFormat="1" applyFont="1"/>
    <xf numFmtId="165" fontId="12" fillId="26" borderId="13" xfId="0" applyNumberFormat="1" applyFont="1" applyFill="1" applyBorder="1" applyAlignment="1">
      <alignment horizontal="center"/>
    </xf>
    <xf numFmtId="165" fontId="12" fillId="26" borderId="21" xfId="0" applyNumberFormat="1" applyFont="1" applyFill="1" applyBorder="1" applyAlignment="1">
      <alignment horizontal="center"/>
    </xf>
    <xf numFmtId="165" fontId="12" fillId="26" borderId="9" xfId="0" applyNumberFormat="1" applyFont="1" applyFill="1" applyBorder="1" applyAlignment="1">
      <alignment horizontal="center" wrapText="1"/>
    </xf>
    <xf numFmtId="165" fontId="12" fillId="26" borderId="14" xfId="0" applyNumberFormat="1" applyFont="1" applyFill="1" applyBorder="1" applyAlignment="1">
      <alignment horizontal="center" wrapText="1"/>
    </xf>
    <xf numFmtId="165" fontId="11" fillId="0" borderId="22" xfId="0" applyNumberFormat="1" applyFont="1" applyBorder="1"/>
    <xf numFmtId="165" fontId="11" fillId="0" borderId="23" xfId="0" applyNumberFormat="1" applyFont="1" applyBorder="1"/>
    <xf numFmtId="165" fontId="11" fillId="0" borderId="24" xfId="0" applyNumberFormat="1" applyFont="1" applyBorder="1" applyAlignment="1">
      <alignment horizontal="right"/>
    </xf>
    <xf numFmtId="165" fontId="11" fillId="0" borderId="24" xfId="0" applyNumberFormat="1" applyFont="1" applyBorder="1" applyAlignment="1">
      <alignment horizontal="center"/>
    </xf>
    <xf numFmtId="165" fontId="11" fillId="0" borderId="24" xfId="0" applyNumberFormat="1" applyFont="1" applyBorder="1"/>
    <xf numFmtId="165" fontId="11" fillId="0" borderId="25" xfId="0" applyNumberFormat="1" applyFont="1" applyBorder="1"/>
    <xf numFmtId="165" fontId="11" fillId="0" borderId="22" xfId="0" applyNumberFormat="1" applyFont="1" applyBorder="1" applyAlignment="1">
      <alignment horizontal="left"/>
    </xf>
    <xf numFmtId="165" fontId="11" fillId="0" borderId="23" xfId="0" applyNumberFormat="1" applyFont="1" applyBorder="1" applyAlignment="1">
      <alignment horizontal="left"/>
    </xf>
    <xf numFmtId="165" fontId="11" fillId="0" borderId="26" xfId="0" applyNumberFormat="1" applyFont="1" applyBorder="1"/>
    <xf numFmtId="165" fontId="11" fillId="0" borderId="27" xfId="0" applyNumberFormat="1" applyFont="1" applyBorder="1"/>
    <xf numFmtId="165" fontId="11" fillId="0" borderId="28" xfId="0" applyNumberFormat="1" applyFont="1" applyBorder="1" applyAlignment="1">
      <alignment horizontal="right"/>
    </xf>
    <xf numFmtId="165" fontId="11" fillId="0" borderId="28" xfId="0" applyNumberFormat="1" applyFont="1" applyBorder="1" applyAlignment="1">
      <alignment horizontal="center"/>
    </xf>
    <xf numFmtId="165" fontId="11" fillId="0" borderId="28" xfId="0" applyNumberFormat="1" applyFont="1" applyBorder="1"/>
    <xf numFmtId="165" fontId="11" fillId="0" borderId="29" xfId="0" applyNumberFormat="1" applyFont="1" applyBorder="1"/>
    <xf numFmtId="165" fontId="11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165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70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165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70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165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165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165" fontId="14" fillId="11" borderId="1" xfId="1" applyNumberFormat="1" applyFont="1" applyFill="1" applyBorder="1"/>
    <xf numFmtId="49" fontId="14" fillId="16" borderId="1" xfId="0" applyNumberFormat="1" applyFont="1" applyFill="1" applyBorder="1"/>
    <xf numFmtId="165" fontId="14" fillId="16" borderId="1" xfId="1" applyNumberFormat="1" applyFont="1" applyFill="1" applyBorder="1"/>
    <xf numFmtId="49" fontId="14" fillId="10" borderId="1" xfId="0" applyNumberFormat="1" applyFont="1" applyFill="1" applyBorder="1"/>
    <xf numFmtId="165" fontId="14" fillId="10" borderId="1" xfId="1" applyNumberFormat="1" applyFont="1" applyFill="1" applyBorder="1"/>
    <xf numFmtId="49" fontId="14" fillId="18" borderId="1" xfId="0" applyNumberFormat="1" applyFont="1" applyFill="1" applyBorder="1"/>
    <xf numFmtId="165" fontId="14" fillId="18" borderId="1" xfId="1" applyNumberFormat="1" applyFont="1" applyFill="1" applyBorder="1"/>
    <xf numFmtId="49" fontId="14" fillId="9" borderId="1" xfId="0" applyNumberFormat="1" applyFont="1" applyFill="1" applyBorder="1"/>
    <xf numFmtId="165" fontId="14" fillId="9" borderId="1" xfId="1" applyNumberFormat="1" applyFont="1" applyFill="1" applyBorder="1"/>
    <xf numFmtId="49" fontId="14" fillId="19" borderId="1" xfId="0" applyNumberFormat="1" applyFont="1" applyFill="1" applyBorder="1"/>
    <xf numFmtId="165" fontId="14" fillId="19" borderId="1" xfId="1" applyNumberFormat="1" applyFont="1" applyFill="1" applyBorder="1"/>
    <xf numFmtId="49" fontId="14" fillId="23" borderId="1" xfId="0" applyNumberFormat="1" applyFont="1" applyFill="1" applyBorder="1"/>
    <xf numFmtId="165" fontId="14" fillId="23" borderId="1" xfId="1" applyNumberFormat="1" applyFont="1" applyFill="1" applyBorder="1"/>
    <xf numFmtId="49" fontId="14" fillId="21" borderId="1" xfId="0" applyNumberFormat="1" applyFont="1" applyFill="1" applyBorder="1"/>
    <xf numFmtId="165" fontId="14" fillId="21" borderId="1" xfId="1" applyNumberFormat="1" applyFont="1" applyFill="1" applyBorder="1"/>
    <xf numFmtId="49" fontId="14" fillId="24" borderId="1" xfId="0" applyNumberFormat="1" applyFont="1" applyFill="1" applyBorder="1"/>
    <xf numFmtId="165" fontId="14" fillId="24" borderId="1" xfId="1" applyNumberFormat="1" applyFont="1" applyFill="1" applyBorder="1"/>
    <xf numFmtId="49" fontId="14" fillId="7" borderId="1" xfId="0" applyNumberFormat="1" applyFont="1" applyFill="1" applyBorder="1"/>
    <xf numFmtId="165" fontId="14" fillId="7" borderId="1" xfId="1" applyNumberFormat="1" applyFont="1" applyFill="1" applyBorder="1"/>
    <xf numFmtId="49" fontId="14" fillId="22" borderId="1" xfId="0" applyNumberFormat="1" applyFont="1" applyFill="1" applyBorder="1"/>
    <xf numFmtId="165" fontId="14" fillId="22" borderId="1" xfId="1" applyNumberFormat="1" applyFont="1" applyFill="1" applyBorder="1"/>
    <xf numFmtId="49" fontId="14" fillId="8" borderId="1" xfId="0" applyNumberFormat="1" applyFont="1" applyFill="1" applyBorder="1"/>
    <xf numFmtId="165" fontId="14" fillId="8" borderId="1" xfId="1" applyNumberFormat="1" applyFont="1" applyFill="1" applyBorder="1"/>
    <xf numFmtId="49" fontId="14" fillId="13" borderId="1" xfId="0" applyNumberFormat="1" applyFont="1" applyFill="1" applyBorder="1"/>
    <xf numFmtId="165" fontId="14" fillId="13" borderId="1" xfId="1" applyNumberFormat="1" applyFont="1" applyFill="1" applyBorder="1"/>
    <xf numFmtId="49" fontId="14" fillId="6" borderId="1" xfId="0" applyNumberFormat="1" applyFont="1" applyFill="1" applyBorder="1"/>
    <xf numFmtId="165" fontId="14" fillId="6" borderId="1" xfId="1" applyNumberFormat="1" applyFont="1" applyFill="1" applyBorder="1"/>
    <xf numFmtId="165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70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165" fontId="14" fillId="0" borderId="0" xfId="1" applyNumberFormat="1" applyFont="1"/>
    <xf numFmtId="170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165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165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8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8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8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8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8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5" fontId="29" fillId="0" borderId="0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8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8" fontId="31" fillId="2" borderId="1" xfId="0" applyNumberFormat="1" applyFon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8" fontId="31" fillId="0" borderId="0" xfId="0" applyNumberFormat="1" applyFont="1"/>
    <xf numFmtId="168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8" fontId="31" fillId="0" borderId="0" xfId="0" applyNumberFormat="1" applyFont="1" applyAlignment="1">
      <alignment horizontal="center"/>
    </xf>
    <xf numFmtId="168" fontId="31" fillId="0" borderId="0" xfId="0" applyNumberFormat="1" applyFont="1" applyFill="1" applyAlignment="1">
      <alignment horizontal="center"/>
    </xf>
    <xf numFmtId="169" fontId="31" fillId="0" borderId="0" xfId="1" applyNumberFormat="1" applyFont="1" applyAlignment="1">
      <alignment horizontal="center"/>
    </xf>
    <xf numFmtId="169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8" fontId="32" fillId="0" borderId="10" xfId="0" applyNumberFormat="1" applyFont="1" applyBorder="1"/>
    <xf numFmtId="168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8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8" fontId="38" fillId="2" borderId="1" xfId="0" applyNumberFormat="1" applyFont="1" applyFill="1" applyBorder="1" applyAlignment="1">
      <alignment horizontal="center"/>
    </xf>
    <xf numFmtId="168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8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8" fontId="38" fillId="0" borderId="39" xfId="0" applyNumberFormat="1" applyFont="1" applyFill="1" applyBorder="1" applyAlignment="1">
      <alignment horizontal="center"/>
    </xf>
    <xf numFmtId="168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8" fontId="38" fillId="0" borderId="0" xfId="0" applyNumberFormat="1" applyFont="1" applyFill="1"/>
    <xf numFmtId="168" fontId="38" fillId="0" borderId="0" xfId="0" applyNumberFormat="1" applyFont="1" applyFill="1" applyBorder="1"/>
    <xf numFmtId="165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8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9" fontId="38" fillId="0" borderId="39" xfId="1" applyNumberFormat="1" applyFont="1" applyFill="1" applyBorder="1" applyAlignment="1">
      <alignment horizontal="center"/>
    </xf>
    <xf numFmtId="169" fontId="38" fillId="0" borderId="1" xfId="1" applyNumberFormat="1" applyFont="1" applyFill="1" applyBorder="1" applyAlignment="1">
      <alignment horizontal="center"/>
    </xf>
    <xf numFmtId="169" fontId="38" fillId="0" borderId="0" xfId="1" applyNumberFormat="1" applyFont="1" applyFill="1" applyAlignment="1">
      <alignment horizontal="center"/>
    </xf>
    <xf numFmtId="169" fontId="38" fillId="0" borderId="0" xfId="1" applyNumberFormat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165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8" fontId="41" fillId="0" borderId="39" xfId="0" applyNumberFormat="1" applyFont="1" applyFill="1" applyBorder="1" applyAlignment="1">
      <alignment horizontal="center"/>
    </xf>
    <xf numFmtId="168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165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165" fontId="31" fillId="0" borderId="0" xfId="0" applyNumberFormat="1" applyFont="1"/>
    <xf numFmtId="0" fontId="3" fillId="31" borderId="1" xfId="0" applyFont="1" applyFill="1" applyBorder="1"/>
    <xf numFmtId="168" fontId="3" fillId="31" borderId="1" xfId="0" applyNumberFormat="1" applyFont="1" applyFill="1" applyBorder="1" applyAlignment="1">
      <alignment horizontal="center"/>
    </xf>
    <xf numFmtId="164" fontId="3" fillId="31" borderId="1" xfId="1" quotePrefix="1" applyFont="1" applyFill="1" applyBorder="1" applyAlignment="1">
      <alignment horizontal="center"/>
    </xf>
    <xf numFmtId="164" fontId="3" fillId="31" borderId="1" xfId="1" applyFont="1" applyFill="1" applyBorder="1"/>
    <xf numFmtId="164" fontId="4" fillId="31" borderId="1" xfId="1" applyFont="1" applyFill="1" applyBorder="1"/>
    <xf numFmtId="164" fontId="3" fillId="31" borderId="8" xfId="1" applyFont="1" applyFill="1" applyBorder="1"/>
    <xf numFmtId="164" fontId="3" fillId="31" borderId="0" xfId="1" applyFont="1" applyFill="1" applyBorder="1" applyAlignment="1">
      <alignment horizontal="center"/>
    </xf>
    <xf numFmtId="0" fontId="3" fillId="31" borderId="0" xfId="0" applyFont="1" applyFill="1"/>
    <xf numFmtId="164" fontId="3" fillId="31" borderId="1" xfId="1" quotePrefix="1" applyFont="1" applyFill="1" applyBorder="1"/>
    <xf numFmtId="164" fontId="3" fillId="31" borderId="0" xfId="1" applyFont="1" applyFill="1" applyBorder="1"/>
    <xf numFmtId="164" fontId="3" fillId="31" borderId="0" xfId="1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49" fontId="26" fillId="0" borderId="1" xfId="0" applyNumberFormat="1" applyFont="1" applyFill="1" applyBorder="1"/>
    <xf numFmtId="168" fontId="26" fillId="0" borderId="1" xfId="0" applyNumberFormat="1" applyFont="1" applyFill="1" applyBorder="1" applyAlignment="1">
      <alignment horizontal="center"/>
    </xf>
    <xf numFmtId="164" fontId="26" fillId="0" borderId="1" xfId="1" quotePrefix="1" applyFont="1" applyFill="1" applyBorder="1"/>
    <xf numFmtId="164" fontId="26" fillId="0" borderId="1" xfId="1" applyFont="1" applyFill="1" applyBorder="1"/>
    <xf numFmtId="164" fontId="26" fillId="0" borderId="8" xfId="1" applyFont="1" applyFill="1" applyBorder="1"/>
    <xf numFmtId="164" fontId="26" fillId="0" borderId="0" xfId="1" applyFont="1" applyFill="1" applyBorder="1" applyAlignment="1">
      <alignment horizontal="center"/>
    </xf>
    <xf numFmtId="0" fontId="26" fillId="0" borderId="0" xfId="0" applyFont="1" applyFill="1"/>
    <xf numFmtId="164" fontId="3" fillId="31" borderId="1" xfId="1" applyNumberFormat="1" applyFont="1" applyFill="1" applyBorder="1"/>
    <xf numFmtId="0" fontId="3" fillId="31" borderId="0" xfId="0" applyFont="1" applyFill="1" applyBorder="1"/>
    <xf numFmtId="164" fontId="4" fillId="31" borderId="0" xfId="1" quotePrefix="1" applyFont="1" applyFill="1" applyBorder="1" applyAlignment="1">
      <alignment horizontal="center"/>
    </xf>
    <xf numFmtId="0" fontId="22" fillId="31" borderId="1" xfId="0" applyFont="1" applyFill="1" applyBorder="1"/>
    <xf numFmtId="164" fontId="3" fillId="28" borderId="1" xfId="1" applyFont="1" applyFill="1" applyBorder="1"/>
    <xf numFmtId="164" fontId="3" fillId="33" borderId="1" xfId="1" applyFont="1" applyFill="1" applyBorder="1"/>
    <xf numFmtId="166" fontId="4" fillId="24" borderId="11" xfId="0" applyNumberFormat="1" applyFont="1" applyFill="1" applyBorder="1" applyAlignment="1">
      <alignment horizontal="center"/>
    </xf>
    <xf numFmtId="166" fontId="4" fillId="24" borderId="16" xfId="0" applyNumberFormat="1" applyFont="1" applyFill="1" applyBorder="1" applyAlignment="1">
      <alignment horizontal="center"/>
    </xf>
    <xf numFmtId="166" fontId="4" fillId="24" borderId="12" xfId="0" applyNumberFormat="1" applyFont="1" applyFill="1" applyBorder="1" applyAlignment="1">
      <alignment horizontal="center"/>
    </xf>
    <xf numFmtId="166" fontId="4" fillId="3" borderId="11" xfId="0" applyNumberFormat="1" applyFont="1" applyFill="1" applyBorder="1" applyAlignment="1">
      <alignment horizontal="center"/>
    </xf>
    <xf numFmtId="166" fontId="4" fillId="3" borderId="16" xfId="0" applyNumberFormat="1" applyFont="1" applyFill="1" applyBorder="1" applyAlignment="1">
      <alignment horizontal="center"/>
    </xf>
    <xf numFmtId="166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3.xml"/><Relationship Id="rId92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D49BA73-A0C4-4961-989F-E9F31F0FB276}" diskRevisions="1" revisionId="2799" version="2" protected="1">
  <header guid="{615C0B51-B662-4C4A-8121-27774F1A42DF}" dateTime="2022-02-28T12:54:12" maxSheetId="16" userName="Andre A. Le Grange" r:id="rId92" minRId="2744" maxRId="2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49BA73-A0C4-4961-989F-E9F31F0FB276}" dateTime="2022-03-16T09:38:42" maxSheetId="16" userName="Arnold Mathebula" r:id="rId93" minRId="2769" maxRId="27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4" sId="9" numFmtId="34">
    <oc r="A4">
      <v>16</v>
    </oc>
    <nc r="A4">
      <v>22</v>
    </nc>
  </rcc>
  <rcc rId="2745" sId="9" numFmtId="13">
    <oc r="A2">
      <v>-0.27500000000000002</v>
    </oc>
    <nc r="A2">
      <v>-0.22500000000000001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9" sId="1">
    <oc r="A1" t="inlineStr">
      <is>
        <t>VEHICLE BUDGET 2021-2022</t>
      </is>
    </oc>
    <nc r="A1" t="inlineStr">
      <is>
        <t>VEHICLE BUDGET 2022-2023</t>
      </is>
    </nc>
  </rcc>
  <rcc rId="2770" sId="2">
    <oc r="A1" t="inlineStr">
      <is>
        <t>VEHICLE BUDGET 2021-2022</t>
      </is>
    </oc>
    <nc r="A1" t="inlineStr">
      <is>
        <t>VEHICLE BUDGET 2022-2023</t>
      </is>
    </nc>
  </rcc>
  <rcc rId="2771" sId="3">
    <oc r="A1" t="inlineStr">
      <is>
        <t>VEHICLE BUDGET 2021-2022</t>
      </is>
    </oc>
    <nc r="A1" t="inlineStr">
      <is>
        <t>VEHICLE BUDGET 2022-2023</t>
      </is>
    </nc>
  </rcc>
  <rcc rId="2772" sId="4">
    <oc r="A1" t="inlineStr">
      <is>
        <t>VEHICLE BUDGET 2021-2022</t>
      </is>
    </oc>
    <nc r="A1" t="inlineStr">
      <is>
        <t>VEHICLE BUDGET 2022-2023</t>
      </is>
    </nc>
  </rcc>
  <rcc rId="2773" sId="5">
    <oc r="A1" t="inlineStr">
      <is>
        <t>VEHICLE BUDGET 2021-2022</t>
      </is>
    </oc>
    <nc r="A1" t="inlineStr">
      <is>
        <t>VEHICLE BUDGET 2022-2023</t>
      </is>
    </nc>
  </rcc>
  <rcc rId="2774" sId="6">
    <oc r="A1" t="inlineStr">
      <is>
        <t>VEHICLE BUDGET 2021-2022</t>
      </is>
    </oc>
    <nc r="A1" t="inlineStr">
      <is>
        <t>VEHICLE BUDGET 2022-2023</t>
      </is>
    </nc>
  </rcc>
  <rcc rId="2775" sId="7">
    <oc r="A1" t="inlineStr">
      <is>
        <t>VEHICLE BUDGET 2021-2022</t>
      </is>
    </oc>
    <nc r="A1" t="inlineStr">
      <is>
        <t>VEHICLE BUDGET 2022-2023</t>
      </is>
    </nc>
  </rcc>
  <rcc rId="2776" sId="8">
    <oc r="A1" t="inlineStr">
      <is>
        <t>VEHICLE BUDGET 2021-2022</t>
      </is>
    </oc>
    <nc r="A1" t="inlineStr">
      <is>
        <t>VEHICLE BUDGET 2022-2023</t>
      </is>
    </nc>
  </rcc>
  <rdn rId="0" localSheetId="1" customView="1" name="Z_08F29437_BBE1_46C0_B84C_12B7ABEF1718_.wvu.PrintArea" hidden="1" oldHidden="1">
    <formula>mayor!$A$1:$Q$42</formula>
  </rdn>
  <rdn rId="0" localSheetId="1" customView="1" name="Z_08F29437_BBE1_46C0_B84C_12B7ABEF1718_.wvu.Cols" hidden="1" oldHidden="1">
    <formula>mayor!$P:$P</formula>
  </rdn>
  <rdn rId="0" localSheetId="2" customView="1" name="Z_08F29437_BBE1_46C0_B84C_12B7ABEF1718_.wvu.PrintArea" hidden="1" oldHidden="1">
    <formula>income!$A$1:$Q$16</formula>
  </rdn>
  <rdn rId="0" localSheetId="2" customView="1" name="Z_08F29437_BBE1_46C0_B84C_12B7ABEF1718_.wvu.Cols" hidden="1" oldHidden="1">
    <formula>income!$P:$P</formula>
  </rdn>
  <rdn rId="0" localSheetId="3" customView="1" name="Z_08F29437_BBE1_46C0_B84C_12B7ABEF1718_.wvu.PrintArea" hidden="1" oldHidden="1">
    <formula>workshop!$A$1:$Q$20</formula>
  </rdn>
  <rdn rId="0" localSheetId="3" customView="1" name="Z_08F29437_BBE1_46C0_B84C_12B7ABEF1718_.wvu.Cols" hidden="1" oldHidden="1">
    <formula>workshop!$J:$J,workshop!$P:$P</formula>
  </rdn>
  <rdn rId="0" localSheetId="4" customView="1" name="Z_08F29437_BBE1_46C0_B84C_12B7ABEF1718_.wvu.PrintArea" hidden="1" oldHidden="1">
    <formula>'COMMUNITY SERV'!$A$1:$Q$102</formula>
  </rdn>
  <rdn rId="0" localSheetId="5" customView="1" name="Z_08F29437_BBE1_46C0_B84C_12B7ABEF1718_.wvu.PrintArea" hidden="1" oldHidden="1">
    <formula>EEM!$A$1:$Q$97</formula>
  </rdn>
  <rdn rId="0" localSheetId="6" customView="1" name="Z_08F29437_BBE1_46C0_B84C_12B7ABEF1718_.wvu.PrintArea" hidden="1" oldHidden="1">
    <formula>CEM!$A$1:$Q$145</formula>
  </rdn>
  <rdn rId="0" localSheetId="6" customView="1" name="Z_08F29437_BBE1_46C0_B84C_12B7ABEF1718_.wvu.Rows" hidden="1" oldHidden="1">
    <formula>CEM!$140:$140</formula>
  </rdn>
  <rdn rId="0" localSheetId="6" customView="1" name="Z_08F29437_BBE1_46C0_B84C_12B7ABEF1718_.wvu.Cols" hidden="1" oldHidden="1">
    <formula>CEM!$P:$P</formula>
  </rdn>
  <rdn rId="0" localSheetId="7" customView="1" name="Z_08F29437_BBE1_46C0_B84C_12B7ABEF1718_.wvu.PrintArea" hidden="1" oldHidden="1">
    <formula>MDC!$A$1:$Q$90</formula>
  </rdn>
  <rdn rId="0" localSheetId="7" customView="1" name="Z_08F29437_BBE1_46C0_B84C_12B7ABEF1718_.wvu.Rows" hidden="1" oldHidden="1">
    <formula>MDC!$67:$73</formula>
  </rdn>
  <rdn rId="0" localSheetId="7" customView="1" name="Z_08F29437_BBE1_46C0_B84C_12B7ABEF1718_.wvu.Cols" hidden="1" oldHidden="1">
    <formula>MDC!$J:$J,MDC!$P:$P</formula>
  </rdn>
  <rdn rId="0" localSheetId="8" customView="1" name="Z_08F29437_BBE1_46C0_B84C_12B7ABEF1718_.wvu.PrintArea" hidden="1" oldHidden="1">
    <formula>BUDGET!$A$1:$B$76</formula>
  </rdn>
  <rdn rId="0" localSheetId="8" customView="1" name="Z_08F29437_BBE1_46C0_B84C_12B7ABEF1718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08F29437_BBE1_46C0_B84C_12B7ABEF1718_.wvu.Cols" hidden="1" oldHidden="1">
    <formula>BUDGET!$C:$S</formula>
  </rdn>
  <rdn rId="0" localSheetId="10" customView="1" name="Z_08F29437_BBE1_46C0_B84C_12B7ABEF1718_.wvu.FilterData" hidden="1" oldHidden="1">
    <formula>orig!$A$1:$AN$198</formula>
  </rdn>
  <rdn rId="0" localSheetId="11" customView="1" name="Z_08F29437_BBE1_46C0_B84C_12B7ABEF1718_.wvu.Cols" hidden="1" oldHidden="1">
    <formula>'1-10'!$B:$B</formula>
  </rdn>
  <rdn rId="0" localSheetId="11" customView="1" name="Z_08F29437_BBE1_46C0_B84C_12B7ABEF1718_.wvu.FilterData" hidden="1" oldHidden="1">
    <formula>'1-10'!$A$1:$AY$100</formula>
  </rdn>
  <rdn rId="0" localSheetId="12" customView="1" name="Z_08F29437_BBE1_46C0_B84C_12B7ABEF1718_.wvu.Rows" hidden="1" oldHidden="1">
    <formula>'new veh 2012'!$96:$97</formula>
  </rdn>
  <rdn rId="0" localSheetId="12" customView="1" name="Z_08F29437_BBE1_46C0_B84C_12B7ABEF1718_.wvu.FilterData" hidden="1" oldHidden="1">
    <formula>'new veh 2012'!$A$1:$J$95</formula>
  </rdn>
  <rdn rId="0" localSheetId="14" customView="1" name="Z_08F29437_BBE1_46C0_B84C_12B7ABEF1718_.wvu.FilterData" hidden="1" oldHidden="1">
    <formula>stbk!$A$1:$G$199</formula>
  </rdn>
  <rcv guid="{08F29437-BBE1-46C0-B84C-12B7ABEF171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T127"/>
  <sheetViews>
    <sheetView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7" sqref="E17"/>
    </sheetView>
  </sheetViews>
  <sheetFormatPr defaultColWidth="9.21875" defaultRowHeight="10.199999999999999"/>
  <cols>
    <col min="1" max="1" width="21" style="2" customWidth="1"/>
    <col min="2" max="2" width="8.77734375" style="2" bestFit="1" customWidth="1"/>
    <col min="3" max="3" width="4.44140625" style="6" bestFit="1" customWidth="1"/>
    <col min="4" max="4" width="7.77734375" style="17" bestFit="1" customWidth="1"/>
    <col min="5" max="5" width="11.21875" style="2" bestFit="1" customWidth="1"/>
    <col min="6" max="6" width="10.77734375" style="2" customWidth="1"/>
    <col min="7" max="12" width="11.21875" style="2" bestFit="1" customWidth="1"/>
    <col min="13" max="13" width="13.21875" style="2" bestFit="1" customWidth="1"/>
    <col min="14" max="14" width="11.21875" style="2" bestFit="1" customWidth="1"/>
    <col min="15" max="15" width="13.21875" style="2" bestFit="1" customWidth="1"/>
    <col min="16" max="16" width="8.21875" style="15" hidden="1" customWidth="1"/>
    <col min="17" max="17" width="7.77734375" style="29" bestFit="1" customWidth="1"/>
    <col min="18" max="16384" width="9.21875" style="2"/>
  </cols>
  <sheetData>
    <row r="1" spans="1:20">
      <c r="A1" s="18" t="s">
        <v>1510</v>
      </c>
      <c r="C1" s="55"/>
      <c r="D1" s="17" t="s">
        <v>1490</v>
      </c>
      <c r="G1" s="37">
        <f>5300*(1+CALC!$A$2)</f>
        <v>4107.5</v>
      </c>
      <c r="H1" s="37">
        <f>6000*(1+CALC!$A$2)</f>
        <v>4650</v>
      </c>
    </row>
    <row r="3" spans="1:20" s="96" customFormat="1" ht="33" customHeight="1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177</v>
      </c>
      <c r="F3" s="327" t="s">
        <v>1501</v>
      </c>
      <c r="G3" s="327" t="s">
        <v>178</v>
      </c>
      <c r="H3" s="327" t="s">
        <v>179</v>
      </c>
      <c r="I3" s="327" t="s">
        <v>184</v>
      </c>
      <c r="J3" s="327" t="s">
        <v>180</v>
      </c>
      <c r="K3" s="327" t="s">
        <v>181</v>
      </c>
      <c r="L3" s="327" t="s">
        <v>235</v>
      </c>
      <c r="M3" s="328" t="s">
        <v>12</v>
      </c>
      <c r="N3" s="327" t="s">
        <v>183</v>
      </c>
      <c r="O3" s="327" t="s">
        <v>182</v>
      </c>
      <c r="P3" s="329" t="s">
        <v>85</v>
      </c>
      <c r="Q3" s="329" t="s">
        <v>11</v>
      </c>
    </row>
    <row r="4" spans="1:20" s="10" customFormat="1" ht="17.25" customHeight="1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0.8" thickBot="1"/>
    <row r="6" spans="1:20" ht="10.8" thickBot="1">
      <c r="A6" s="330" t="s">
        <v>10</v>
      </c>
      <c r="B6" s="331" t="s">
        <v>285</v>
      </c>
      <c r="D6" s="568" t="s">
        <v>672</v>
      </c>
      <c r="E6" s="569"/>
      <c r="F6" s="570"/>
    </row>
    <row r="7" spans="1:20">
      <c r="J7" s="9"/>
      <c r="Q7" s="21"/>
    </row>
    <row r="8" spans="1:20" s="9" customFormat="1">
      <c r="A8" s="61" t="str">
        <f>+'1-10'!C14</f>
        <v>ISUZU KB200i 2x4 [003]</v>
      </c>
      <c r="B8" s="61" t="s">
        <v>574</v>
      </c>
      <c r="C8" s="54">
        <v>613</v>
      </c>
      <c r="D8" s="46">
        <v>20592</v>
      </c>
      <c r="E8" s="131">
        <f>+D8/P8*(CALC!$A$4)</f>
        <v>48040.721102863201</v>
      </c>
      <c r="F8" s="37">
        <f>250*12</f>
        <v>3000</v>
      </c>
      <c r="G8" s="37">
        <f>5500*(1+CALC!A2)</f>
        <v>4262.5</v>
      </c>
      <c r="H8" s="37">
        <f>58000</f>
        <v>58000</v>
      </c>
      <c r="I8" s="37">
        <f>15393.84</f>
        <v>15393.84</v>
      </c>
      <c r="J8" s="37"/>
      <c r="K8" s="37">
        <f>800</f>
        <v>800</v>
      </c>
      <c r="L8" s="37"/>
      <c r="M8" s="37">
        <f>SUM(E8:L8)</f>
        <v>129497.0611028632</v>
      </c>
      <c r="N8" s="37">
        <f>M8/CALC!$A$8*CALC!$A$6</f>
        <v>4206.7646360096787</v>
      </c>
      <c r="O8" s="37">
        <f>+M8+N8</f>
        <v>133703.82573887287</v>
      </c>
      <c r="P8" s="48">
        <v>9.43</v>
      </c>
      <c r="Q8" s="49"/>
    </row>
    <row r="9" spans="1:20" s="9" customFormat="1">
      <c r="A9" s="61" t="str">
        <f>+'1-10'!C28</f>
        <v>ISUZU KB200i 2x4  [006]</v>
      </c>
      <c r="B9" s="61" t="s">
        <v>588</v>
      </c>
      <c r="C9" s="54">
        <v>627</v>
      </c>
      <c r="D9" s="46">
        <v>23284</v>
      </c>
      <c r="E9" s="131">
        <f>+D9/P9*(CALC!$A$4)</f>
        <v>57298.434004474278</v>
      </c>
      <c r="F9" s="37">
        <v>3000</v>
      </c>
      <c r="G9" s="37">
        <f>5500*(1+CALC!$A$2)</f>
        <v>4262.5</v>
      </c>
      <c r="H9" s="37">
        <f>58000</f>
        <v>58000</v>
      </c>
      <c r="I9" s="37">
        <f>15431.33</f>
        <v>15431.33</v>
      </c>
      <c r="J9" s="37"/>
      <c r="K9" s="37">
        <f>800</f>
        <v>800</v>
      </c>
      <c r="L9" s="37"/>
      <c r="M9" s="37">
        <f>SUM(E9:L9)</f>
        <v>138792.26400447427</v>
      </c>
      <c r="N9" s="37">
        <f>M9/CALC!$A$8*CALC!$A$6</f>
        <v>4508.7230782941078</v>
      </c>
      <c r="O9" s="37">
        <f>+M9+N9</f>
        <v>143300.98708276838</v>
      </c>
      <c r="P9" s="48">
        <v>8.94</v>
      </c>
      <c r="Q9" s="49"/>
    </row>
    <row r="10" spans="1:20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105339.15510733749</v>
      </c>
      <c r="F11" s="56">
        <f t="shared" si="0"/>
        <v>6000</v>
      </c>
      <c r="G11" s="56">
        <f t="shared" si="0"/>
        <v>8525</v>
      </c>
      <c r="H11" s="56">
        <f t="shared" si="0"/>
        <v>116000</v>
      </c>
      <c r="I11" s="56">
        <f t="shared" si="0"/>
        <v>30825.17</v>
      </c>
      <c r="J11" s="56">
        <f t="shared" si="0"/>
        <v>0</v>
      </c>
      <c r="K11" s="56">
        <f t="shared" si="0"/>
        <v>1600</v>
      </c>
      <c r="L11" s="56"/>
      <c r="M11" s="56">
        <f t="shared" si="0"/>
        <v>268289.32510733744</v>
      </c>
      <c r="N11" s="56">
        <f t="shared" si="0"/>
        <v>8715.4877143037866</v>
      </c>
      <c r="O11" s="56">
        <f t="shared" si="0"/>
        <v>277004.81282164122</v>
      </c>
      <c r="P11" s="33"/>
      <c r="Q11" s="135">
        <f>(+O11/D11)</f>
        <v>6.3133561131744287</v>
      </c>
      <c r="T11" s="18">
        <f>Q11*D11</f>
        <v>277004.81282164122</v>
      </c>
    </row>
    <row r="12" spans="1:20" s="18" customFormat="1" ht="10.8" thickBot="1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0.8" thickBot="1">
      <c r="A13" s="330" t="s">
        <v>10</v>
      </c>
      <c r="B13" s="331" t="s">
        <v>473</v>
      </c>
      <c r="D13" s="568" t="s">
        <v>252</v>
      </c>
      <c r="E13" s="569"/>
      <c r="F13" s="570"/>
      <c r="J13" s="9"/>
      <c r="Q13" s="21"/>
    </row>
    <row r="14" spans="1:20">
      <c r="J14" s="9"/>
      <c r="Q14" s="21"/>
    </row>
    <row r="15" spans="1:20" s="9" customFormat="1">
      <c r="A15" s="12" t="str">
        <f>+'1-10'!C50</f>
        <v>TOYOTA QUANTUM [006]</v>
      </c>
      <c r="B15" s="61" t="s">
        <v>597</v>
      </c>
      <c r="C15" s="54">
        <v>649</v>
      </c>
      <c r="D15" s="46">
        <v>10000</v>
      </c>
      <c r="E15" s="131">
        <f>+D15/P15*(CALC!$A$4)</f>
        <v>31428.571428571431</v>
      </c>
      <c r="F15" s="37">
        <v>3000</v>
      </c>
      <c r="G15" s="37">
        <f>5300*(1+CALC!$A$2)</f>
        <v>4107.5</v>
      </c>
      <c r="H15" s="37">
        <f>53000</f>
        <v>53000</v>
      </c>
      <c r="I15" s="37">
        <f>30882.57</f>
        <v>30882.57</v>
      </c>
      <c r="J15" s="37"/>
      <c r="K15" s="37">
        <f>1000</f>
        <v>1000</v>
      </c>
      <c r="L15" s="37"/>
      <c r="M15" s="37">
        <f>SUM(E15:L15)</f>
        <v>123418.64142857143</v>
      </c>
      <c r="N15" s="37">
        <f>M15/CALC!$A$8*CALC!$A$6</f>
        <v>4009.3047036307917</v>
      </c>
      <c r="O15" s="37">
        <f>+M15+N15</f>
        <v>127427.94613220223</v>
      </c>
      <c r="P15" s="48">
        <v>7</v>
      </c>
      <c r="Q15" s="49"/>
    </row>
    <row r="16" spans="1:20" s="9" customFormat="1">
      <c r="A16" s="12" t="str">
        <f>+'1-10'!C51</f>
        <v>TOYOTA QUANTUM [003]</v>
      </c>
      <c r="B16" s="61" t="s">
        <v>1500</v>
      </c>
      <c r="C16" s="54">
        <v>650</v>
      </c>
      <c r="D16" s="46">
        <v>12000</v>
      </c>
      <c r="E16" s="131">
        <f>+D16/P16*(CALC!$A$4)</f>
        <v>37714.28571428571</v>
      </c>
      <c r="F16" s="37">
        <v>3000</v>
      </c>
      <c r="G16" s="37">
        <f>5300*(1+CALC!$A$2)</f>
        <v>4107.5</v>
      </c>
      <c r="H16" s="37">
        <f>53000</f>
        <v>53000</v>
      </c>
      <c r="I16" s="566">
        <v>30882.57</v>
      </c>
      <c r="J16" s="37"/>
      <c r="K16" s="37">
        <f>1000</f>
        <v>1000</v>
      </c>
      <c r="L16" s="37"/>
      <c r="M16" s="37">
        <f>SUM(E16:L16)</f>
        <v>129704.35571428572</v>
      </c>
      <c r="N16" s="37">
        <f>M16/CALC!$A$8*CALC!$A$6</f>
        <v>4213.4986856718178</v>
      </c>
      <c r="O16" s="37">
        <f>+M16+N16</f>
        <v>133917.85439995755</v>
      </c>
      <c r="P16" s="48">
        <v>7</v>
      </c>
      <c r="Q16" s="49"/>
    </row>
    <row r="17" spans="1:17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69142.857142857145</v>
      </c>
      <c r="F18" s="56">
        <f t="shared" si="1"/>
        <v>6000</v>
      </c>
      <c r="G18" s="56">
        <f t="shared" si="1"/>
        <v>8215</v>
      </c>
      <c r="H18" s="56">
        <f t="shared" si="1"/>
        <v>106000</v>
      </c>
      <c r="I18" s="56">
        <f t="shared" si="1"/>
        <v>61765.14</v>
      </c>
      <c r="J18" s="56">
        <f t="shared" si="1"/>
        <v>0</v>
      </c>
      <c r="K18" s="56">
        <f t="shared" si="1"/>
        <v>2000</v>
      </c>
      <c r="L18" s="56"/>
      <c r="M18" s="56">
        <f t="shared" si="1"/>
        <v>253122.99714285714</v>
      </c>
      <c r="N18" s="56">
        <f t="shared" si="1"/>
        <v>8222.8033893026095</v>
      </c>
      <c r="O18" s="56">
        <f t="shared" si="1"/>
        <v>261345.80053215977</v>
      </c>
      <c r="P18" s="33"/>
      <c r="Q18" s="135">
        <f>(+O18/D18)</f>
        <v>11.879354569643626</v>
      </c>
    </row>
    <row r="19" spans="1:17" s="18" customFormat="1" ht="10.8" thickBot="1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0.8" thickBot="1">
      <c r="A20" s="330" t="s">
        <v>10</v>
      </c>
      <c r="B20" s="331" t="s">
        <v>474</v>
      </c>
      <c r="D20" s="568" t="s">
        <v>139</v>
      </c>
      <c r="E20" s="569"/>
      <c r="F20" s="570"/>
      <c r="J20" s="9"/>
      <c r="Q20" s="21"/>
    </row>
    <row r="21" spans="1:17">
      <c r="J21" s="9"/>
      <c r="Q21" s="21"/>
    </row>
    <row r="22" spans="1:17" s="9" customFormat="1">
      <c r="A22" s="61" t="str">
        <f>+'1-10'!C2</f>
        <v>CHEVROLET AVEO 1.6  [057]</v>
      </c>
      <c r="B22" s="61" t="s">
        <v>589</v>
      </c>
      <c r="C22" s="54">
        <v>601</v>
      </c>
      <c r="D22" s="46">
        <v>32576</v>
      </c>
      <c r="E22" s="62">
        <f>+D22/P22*(CALC!$A$4)</f>
        <v>89584</v>
      </c>
      <c r="F22" s="37">
        <v>3000</v>
      </c>
      <c r="G22" s="37">
        <f>5300*(1+CALC!$A$2)</f>
        <v>4107.5</v>
      </c>
      <c r="H22" s="37">
        <v>30000</v>
      </c>
      <c r="I22" s="37">
        <f>10474.94</f>
        <v>10474.94</v>
      </c>
      <c r="J22" s="37"/>
      <c r="K22" s="37">
        <v>600</v>
      </c>
      <c r="L22" s="37"/>
      <c r="M22" s="37">
        <f>SUM(E22:L22)</f>
        <v>137766.44</v>
      </c>
      <c r="N22" s="37">
        <f>M22/CALC!$A$8*CALC!$A$6</f>
        <v>4475.3987687843783</v>
      </c>
      <c r="O22" s="37">
        <f>+M22+N22</f>
        <v>142241.83876878439</v>
      </c>
      <c r="P22" s="48">
        <v>8</v>
      </c>
      <c r="Q22" s="49"/>
    </row>
    <row r="23" spans="1:17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89584</v>
      </c>
      <c r="F24" s="14">
        <f t="shared" si="2"/>
        <v>3000</v>
      </c>
      <c r="G24" s="14">
        <f t="shared" si="2"/>
        <v>4107.5</v>
      </c>
      <c r="H24" s="14">
        <f t="shared" si="2"/>
        <v>30000</v>
      </c>
      <c r="I24" s="14">
        <f t="shared" si="2"/>
        <v>10474.94</v>
      </c>
      <c r="J24" s="14">
        <f t="shared" si="2"/>
        <v>0</v>
      </c>
      <c r="K24" s="14">
        <f t="shared" si="2"/>
        <v>600</v>
      </c>
      <c r="L24" s="14"/>
      <c r="M24" s="14">
        <f t="shared" si="2"/>
        <v>137766.44</v>
      </c>
      <c r="N24" s="14">
        <f>+N22</f>
        <v>4475.3987687843783</v>
      </c>
      <c r="O24" s="14">
        <f>+M24+N24</f>
        <v>142241.83876878439</v>
      </c>
      <c r="P24" s="33"/>
      <c r="Q24" s="135">
        <f>(+O24/D24)*(1+CALC!$A$3)</f>
        <v>4.3664611606331158</v>
      </c>
    </row>
    <row r="25" spans="1:17" s="18" customFormat="1" ht="10.8" thickBot="1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0.8" thickBot="1">
      <c r="A26" s="330" t="s">
        <v>10</v>
      </c>
      <c r="B26" s="331" t="s">
        <v>142</v>
      </c>
      <c r="D26" s="568" t="s">
        <v>256</v>
      </c>
      <c r="E26" s="569"/>
      <c r="F26" s="570"/>
      <c r="J26" s="9"/>
      <c r="Q26" s="21"/>
    </row>
    <row r="27" spans="1:17">
      <c r="J27" s="9"/>
      <c r="Q27" s="21"/>
    </row>
    <row r="28" spans="1:17" s="549" customFormat="1">
      <c r="A28" s="542" t="s">
        <v>600</v>
      </c>
      <c r="B28" s="542" t="s">
        <v>599</v>
      </c>
      <c r="C28" s="384">
        <v>600</v>
      </c>
      <c r="D28" s="543">
        <v>31380</v>
      </c>
      <c r="E28" s="544">
        <f>+D28/P28*(CALC!$A$4)</f>
        <v>96418.99441340781</v>
      </c>
      <c r="F28" s="545">
        <v>3000</v>
      </c>
      <c r="G28" s="545">
        <v>50000</v>
      </c>
      <c r="H28" s="545">
        <v>40000</v>
      </c>
      <c r="I28" s="545">
        <v>200000</v>
      </c>
      <c r="J28" s="545"/>
      <c r="K28" s="545">
        <f>1000*(1.05+CALC!$A$2)</f>
        <v>825.00000000000011</v>
      </c>
      <c r="L28" s="545"/>
      <c r="M28" s="545">
        <f>SUM(E28:L28)</f>
        <v>390243.99441340781</v>
      </c>
      <c r="N28" s="546">
        <f>M28/CALC!$A$8*CALC!$A$6</f>
        <v>12677.234688820174</v>
      </c>
      <c r="O28" s="545">
        <f>+M28+N28</f>
        <v>402921.22910222801</v>
      </c>
      <c r="P28" s="547">
        <v>7.16</v>
      </c>
      <c r="Q28" s="548"/>
    </row>
    <row r="29" spans="1:17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96418.99441340781</v>
      </c>
      <c r="F30" s="14">
        <f t="shared" si="3"/>
        <v>3000</v>
      </c>
      <c r="G30" s="14">
        <f t="shared" si="3"/>
        <v>50000</v>
      </c>
      <c r="H30" s="14">
        <f t="shared" si="3"/>
        <v>40000</v>
      </c>
      <c r="I30" s="14">
        <f t="shared" si="3"/>
        <v>200000</v>
      </c>
      <c r="J30" s="14">
        <f t="shared" si="3"/>
        <v>0</v>
      </c>
      <c r="K30" s="14">
        <f t="shared" si="3"/>
        <v>825.00000000000011</v>
      </c>
      <c r="L30" s="14"/>
      <c r="M30" s="14">
        <f t="shared" si="3"/>
        <v>390243.99441340781</v>
      </c>
      <c r="N30" s="14">
        <f>+N28</f>
        <v>12677.234688820174</v>
      </c>
      <c r="O30" s="14">
        <f>+M30+N30</f>
        <v>402921.22910222801</v>
      </c>
      <c r="P30" s="33"/>
      <c r="Q30" s="135">
        <f>(+O30/D30)*(1+CALC!$A$3)</f>
        <v>12.840064662276227</v>
      </c>
    </row>
    <row r="31" spans="1:17" s="18" customFormat="1" ht="10.8" thickBot="1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0.8" thickBot="1">
      <c r="A32" s="330" t="s">
        <v>10</v>
      </c>
      <c r="B32" s="331" t="s">
        <v>142</v>
      </c>
      <c r="D32" s="568" t="s">
        <v>256</v>
      </c>
      <c r="E32" s="569"/>
      <c r="F32" s="570"/>
      <c r="J32" s="9"/>
      <c r="Q32" s="21"/>
    </row>
    <row r="33" spans="1:17">
      <c r="J33" s="9"/>
      <c r="Q33" s="21"/>
    </row>
    <row r="34" spans="1:17" s="9" customFormat="1">
      <c r="A34" s="61" t="s">
        <v>1496</v>
      </c>
      <c r="B34" s="61" t="s">
        <v>1497</v>
      </c>
      <c r="C34" s="54">
        <v>700</v>
      </c>
      <c r="D34" s="46">
        <v>38000</v>
      </c>
      <c r="E34" s="131">
        <f>+D34/P34*(CALC!$A$4)</f>
        <v>89892.473118279566</v>
      </c>
      <c r="F34" s="37">
        <v>3000</v>
      </c>
      <c r="G34" s="479">
        <f>31000*(1+CALC!$A$2)</f>
        <v>24025</v>
      </c>
      <c r="H34" s="479">
        <v>50000</v>
      </c>
      <c r="I34" s="479">
        <f>69629.3</f>
        <v>69629.3</v>
      </c>
      <c r="J34" s="479"/>
      <c r="K34" s="479">
        <v>1000</v>
      </c>
      <c r="L34" s="479"/>
      <c r="M34" s="479">
        <f>SUM(E34:L34)</f>
        <v>237546.77311827958</v>
      </c>
      <c r="N34" s="480">
        <f>M34/CALC!$A$8*CALC!$A$6</f>
        <v>7716.8034242755375</v>
      </c>
      <c r="O34" s="479">
        <f>+M34+N34</f>
        <v>245263.57654255512</v>
      </c>
      <c r="P34" s="48">
        <v>9.3000000000000007</v>
      </c>
      <c r="Q34" s="49"/>
    </row>
    <row r="35" spans="1:17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89892.473118279566</v>
      </c>
      <c r="F36" s="14">
        <f t="shared" si="4"/>
        <v>3000</v>
      </c>
      <c r="G36" s="14">
        <f t="shared" si="4"/>
        <v>24025</v>
      </c>
      <c r="H36" s="14">
        <f t="shared" si="4"/>
        <v>50000</v>
      </c>
      <c r="I36" s="14">
        <f t="shared" si="4"/>
        <v>69629.3</v>
      </c>
      <c r="J36" s="14">
        <f t="shared" si="4"/>
        <v>0</v>
      </c>
      <c r="K36" s="14">
        <f t="shared" si="4"/>
        <v>1000</v>
      </c>
      <c r="L36" s="14"/>
      <c r="M36" s="14">
        <f t="shared" ref="M36" si="5">SUM(M34:M35)</f>
        <v>237546.77311827958</v>
      </c>
      <c r="N36" s="14">
        <f>+N34</f>
        <v>7716.8034242755375</v>
      </c>
      <c r="O36" s="14">
        <f>+M36+N36</f>
        <v>245263.57654255512</v>
      </c>
      <c r="P36" s="33"/>
      <c r="Q36" s="135">
        <f>(+O36/D36)*(1+CALC!$A$3)</f>
        <v>6.4543046458567135</v>
      </c>
    </row>
    <row r="37" spans="1:17" s="18" customFormat="1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0.8" thickBot="1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0.8" thickBot="1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0.8" thickBot="1">
      <c r="A40" s="42" t="s">
        <v>115</v>
      </c>
      <c r="B40" s="73" t="s">
        <v>14</v>
      </c>
      <c r="C40" s="74"/>
      <c r="D40" s="75">
        <f>+D8+D16</f>
        <v>32592</v>
      </c>
      <c r="E40" s="76">
        <f>+E8+E16</f>
        <v>85755.006817148911</v>
      </c>
      <c r="F40" s="76">
        <f t="shared" ref="F40:O40" si="6">+F8+F16</f>
        <v>6000</v>
      </c>
      <c r="G40" s="76">
        <f t="shared" si="6"/>
        <v>8370</v>
      </c>
      <c r="H40" s="76">
        <f t="shared" si="6"/>
        <v>111000</v>
      </c>
      <c r="I40" s="76">
        <f t="shared" si="6"/>
        <v>46276.41</v>
      </c>
      <c r="J40" s="76">
        <f t="shared" si="6"/>
        <v>0</v>
      </c>
      <c r="K40" s="76">
        <f t="shared" si="6"/>
        <v>1800</v>
      </c>
      <c r="L40" s="76">
        <f t="shared" si="6"/>
        <v>0</v>
      </c>
      <c r="M40" s="76">
        <f t="shared" si="6"/>
        <v>259201.41681714891</v>
      </c>
      <c r="N40" s="76">
        <f t="shared" si="6"/>
        <v>8420.2633216814975</v>
      </c>
      <c r="O40" s="76">
        <f t="shared" si="6"/>
        <v>267621.68013883044</v>
      </c>
      <c r="P40" s="44"/>
      <c r="Q40" s="43"/>
    </row>
    <row r="41" spans="1:17" s="18" customFormat="1" ht="10.8" thickBot="1">
      <c r="A41" s="42" t="s">
        <v>116</v>
      </c>
      <c r="B41" s="73" t="s">
        <v>14</v>
      </c>
      <c r="C41" s="74"/>
      <c r="D41" s="75">
        <f>+D9+D15</f>
        <v>33284</v>
      </c>
      <c r="E41" s="76">
        <f>+E9+E15</f>
        <v>88727.005433045706</v>
      </c>
      <c r="F41" s="76">
        <f t="shared" ref="F41:O41" si="7">+F9+F15</f>
        <v>6000</v>
      </c>
      <c r="G41" s="76">
        <f t="shared" si="7"/>
        <v>8370</v>
      </c>
      <c r="H41" s="76">
        <f t="shared" si="7"/>
        <v>111000</v>
      </c>
      <c r="I41" s="76">
        <f t="shared" si="7"/>
        <v>46313.9</v>
      </c>
      <c r="J41" s="76">
        <f t="shared" si="7"/>
        <v>0</v>
      </c>
      <c r="K41" s="76">
        <f t="shared" si="7"/>
        <v>1800</v>
      </c>
      <c r="L41" s="76">
        <f t="shared" si="7"/>
        <v>0</v>
      </c>
      <c r="M41" s="76">
        <f t="shared" si="7"/>
        <v>262210.9054330457</v>
      </c>
      <c r="N41" s="76">
        <f t="shared" si="7"/>
        <v>8518.0277819248986</v>
      </c>
      <c r="O41" s="76">
        <f t="shared" si="7"/>
        <v>270728.93321497063</v>
      </c>
      <c r="P41" s="133"/>
      <c r="Q41" s="43"/>
    </row>
    <row r="42" spans="1:17" s="18" customFormat="1" ht="10.8" thickBot="1">
      <c r="A42" s="42" t="s">
        <v>243</v>
      </c>
      <c r="B42" s="73" t="s">
        <v>14</v>
      </c>
      <c r="C42" s="74"/>
      <c r="D42" s="75">
        <f>+D24+D30+D36</f>
        <v>101956</v>
      </c>
      <c r="E42" s="76">
        <f>+E24+E30+E36</f>
        <v>275895.46753168735</v>
      </c>
      <c r="F42" s="76">
        <f t="shared" ref="F42:O42" si="8">+F24+F30+F36</f>
        <v>9000</v>
      </c>
      <c r="G42" s="76">
        <f t="shared" si="8"/>
        <v>78132.5</v>
      </c>
      <c r="H42" s="76">
        <f t="shared" si="8"/>
        <v>120000</v>
      </c>
      <c r="I42" s="76">
        <f t="shared" si="8"/>
        <v>280104.24</v>
      </c>
      <c r="J42" s="76">
        <f t="shared" si="8"/>
        <v>0</v>
      </c>
      <c r="K42" s="76">
        <f t="shared" si="8"/>
        <v>2425</v>
      </c>
      <c r="L42" s="76">
        <f t="shared" si="8"/>
        <v>0</v>
      </c>
      <c r="M42" s="76">
        <f t="shared" si="8"/>
        <v>765557.20753168734</v>
      </c>
      <c r="N42" s="76">
        <f t="shared" si="8"/>
        <v>24869.43688188009</v>
      </c>
      <c r="O42" s="76">
        <f t="shared" si="8"/>
        <v>790426.6444135675</v>
      </c>
      <c r="P42" s="43"/>
      <c r="Q42" s="43"/>
    </row>
    <row r="43" spans="1:17">
      <c r="D43" s="17">
        <f>SUM(D40:D42)</f>
        <v>167832</v>
      </c>
      <c r="E43" s="17">
        <f t="shared" ref="E43:O43" si="9">SUM(E40:E42)</f>
        <v>450377.47978188196</v>
      </c>
      <c r="F43" s="17">
        <f t="shared" si="9"/>
        <v>21000</v>
      </c>
      <c r="G43" s="17">
        <f t="shared" si="9"/>
        <v>94872.5</v>
      </c>
      <c r="H43" s="17">
        <f t="shared" si="9"/>
        <v>342000</v>
      </c>
      <c r="I43" s="17">
        <f t="shared" si="9"/>
        <v>372694.55</v>
      </c>
      <c r="J43" s="17">
        <f t="shared" si="9"/>
        <v>0</v>
      </c>
      <c r="K43" s="17">
        <f t="shared" si="9"/>
        <v>6025</v>
      </c>
      <c r="L43" s="17">
        <f t="shared" si="9"/>
        <v>0</v>
      </c>
      <c r="M43" s="17">
        <f t="shared" si="9"/>
        <v>1286969.529781882</v>
      </c>
      <c r="N43" s="17">
        <f t="shared" si="9"/>
        <v>41807.72798548649</v>
      </c>
      <c r="O43" s="17">
        <f t="shared" si="9"/>
        <v>1328777.2577673686</v>
      </c>
    </row>
    <row r="44" spans="1:17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>
      <c r="D45" s="17">
        <f>+D11+D18+D24+D30+D36</f>
        <v>167832</v>
      </c>
      <c r="E45" s="17">
        <f>+E11+E18+E24+E30+E36</f>
        <v>450377.47978188202</v>
      </c>
      <c r="F45" s="17">
        <f t="shared" ref="F45:O45" si="10">+F11+F18+F24+F30+F36</f>
        <v>21000</v>
      </c>
      <c r="G45" s="17">
        <f t="shared" si="10"/>
        <v>94872.5</v>
      </c>
      <c r="H45" s="17">
        <f t="shared" si="10"/>
        <v>342000</v>
      </c>
      <c r="I45" s="17">
        <f t="shared" si="10"/>
        <v>372694.55</v>
      </c>
      <c r="J45" s="17">
        <f t="shared" si="10"/>
        <v>0</v>
      </c>
      <c r="K45" s="17">
        <f t="shared" si="10"/>
        <v>6025</v>
      </c>
      <c r="L45" s="17">
        <f t="shared" si="10"/>
        <v>0</v>
      </c>
      <c r="M45" s="17">
        <f t="shared" si="10"/>
        <v>1286969.529781882</v>
      </c>
      <c r="N45" s="17">
        <f t="shared" si="10"/>
        <v>41807.727985486483</v>
      </c>
      <c r="O45" s="17">
        <f t="shared" si="10"/>
        <v>1328777.2577673686</v>
      </c>
    </row>
    <row r="46" spans="1:17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>
      <c r="F127" s="2">
        <f>SUM(F118:F126)</f>
        <v>0</v>
      </c>
    </row>
  </sheetData>
  <customSheetViews>
    <customSheetView guid="{08F29437-BBE1-46C0-B84C-12B7ABEF1718}" hiddenColumns="1">
      <pane xSplit="3" ySplit="3" topLeftCell="D4" activePane="bottomRight" state="frozen"/>
      <selection pane="bottomRight" activeCell="E17" sqref="E17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6C0BD6A7-6718-429D-82D9-D2FE0341EA2C}" showPageBreaks="1" printArea="1" hiddenColumns="1">
      <pane xSplit="3" ySplit="3" topLeftCell="D25" activePane="bottomRight" state="frozen"/>
      <selection pane="bottomRight" activeCell="F43" sqref="F4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3"/>
      <headerFooter alignWithMargins="0"/>
    </customSheetView>
    <customSheetView guid="{DF69299D-7752-4436-A45D-28F739CEE21B}" showPageBreaks="1" printArea="1" hiddenColumns="1">
      <pane xSplit="3" ySplit="3" topLeftCell="D20" activePane="bottomRight" state="frozen"/>
      <selection pane="bottomRight" activeCell="A42" sqref="A42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21875" defaultRowHeight="10.199999999999999"/>
  <cols>
    <col min="1" max="1" width="9.77734375" style="2" bestFit="1" customWidth="1"/>
    <col min="2" max="2" width="24" style="2" bestFit="1" customWidth="1"/>
    <col min="3" max="3" width="5.77734375" style="6" bestFit="1" customWidth="1"/>
    <col min="4" max="4" width="6.21875" style="2" bestFit="1" customWidth="1"/>
    <col min="5" max="5" width="7" style="2" bestFit="1" customWidth="1"/>
    <col min="6" max="6" width="17.44140625" style="2" bestFit="1" customWidth="1"/>
    <col min="7" max="7" width="19.21875" style="2" bestFit="1" customWidth="1"/>
    <col min="8" max="8" width="18.44140625" style="2" bestFit="1" customWidth="1"/>
    <col min="9" max="16384" width="9.21875" style="2"/>
  </cols>
  <sheetData>
    <row r="1" spans="1:8" ht="10.8" thickBot="1">
      <c r="A1" s="369" t="s">
        <v>696</v>
      </c>
    </row>
    <row r="2" spans="1:8" ht="10.8" thickBot="1">
      <c r="A2" s="370" t="s">
        <v>594</v>
      </c>
      <c r="B2" s="371" t="s">
        <v>1</v>
      </c>
      <c r="C2" s="372"/>
      <c r="D2" s="372" t="s">
        <v>2</v>
      </c>
      <c r="E2" s="372" t="s">
        <v>595</v>
      </c>
      <c r="F2" s="371" t="s">
        <v>591</v>
      </c>
      <c r="G2" s="371" t="s">
        <v>592</v>
      </c>
      <c r="H2" s="373" t="s">
        <v>593</v>
      </c>
    </row>
    <row r="3" spans="1:8" s="6" customFormat="1" ht="17.55" customHeight="1">
      <c r="A3" s="374" t="s">
        <v>697</v>
      </c>
      <c r="B3" s="375" t="s">
        <v>698</v>
      </c>
      <c r="C3" s="376" t="s">
        <v>699</v>
      </c>
      <c r="D3" s="377">
        <v>9</v>
      </c>
      <c r="E3" s="376" t="s">
        <v>700</v>
      </c>
      <c r="F3" s="378" t="s">
        <v>701</v>
      </c>
      <c r="G3" s="378" t="s">
        <v>702</v>
      </c>
      <c r="H3" s="379" t="s">
        <v>703</v>
      </c>
    </row>
    <row r="4" spans="1:8" ht="13.2" customHeight="1">
      <c r="A4" s="380" t="s">
        <v>704</v>
      </c>
      <c r="B4" s="12" t="s">
        <v>705</v>
      </c>
      <c r="C4" s="19" t="s">
        <v>699</v>
      </c>
      <c r="D4" s="381">
        <v>12</v>
      </c>
      <c r="E4" s="19" t="s">
        <v>700</v>
      </c>
      <c r="F4" s="12" t="s">
        <v>706</v>
      </c>
      <c r="G4" s="12" t="s">
        <v>707</v>
      </c>
      <c r="H4" s="382" t="s">
        <v>708</v>
      </c>
    </row>
    <row r="5" spans="1:8" ht="13.2" customHeight="1">
      <c r="A5" s="380" t="s">
        <v>709</v>
      </c>
      <c r="B5" s="12" t="s">
        <v>710</v>
      </c>
      <c r="C5" s="19" t="s">
        <v>699</v>
      </c>
      <c r="D5" s="383">
        <v>15</v>
      </c>
      <c r="E5" s="19" t="s">
        <v>711</v>
      </c>
      <c r="F5" s="12" t="s">
        <v>712</v>
      </c>
      <c r="G5" s="12" t="s">
        <v>713</v>
      </c>
      <c r="H5" s="382" t="s">
        <v>714</v>
      </c>
    </row>
    <row r="6" spans="1:8" ht="13.2" customHeight="1">
      <c r="A6" s="380" t="s">
        <v>715</v>
      </c>
      <c r="B6" s="12" t="s">
        <v>716</v>
      </c>
      <c r="C6" s="19" t="s">
        <v>717</v>
      </c>
      <c r="D6" s="383">
        <v>16</v>
      </c>
      <c r="E6" s="19" t="s">
        <v>718</v>
      </c>
      <c r="F6" s="12"/>
      <c r="G6" s="53" t="s">
        <v>719</v>
      </c>
      <c r="H6" s="382" t="s">
        <v>720</v>
      </c>
    </row>
    <row r="7" spans="1:8" ht="13.2" customHeight="1">
      <c r="A7" s="380" t="s">
        <v>721</v>
      </c>
      <c r="B7" s="12" t="s">
        <v>38</v>
      </c>
      <c r="C7" s="19" t="s">
        <v>717</v>
      </c>
      <c r="D7" s="384">
        <v>17</v>
      </c>
      <c r="E7" s="19" t="s">
        <v>718</v>
      </c>
      <c r="F7" s="12"/>
      <c r="G7" s="53" t="s">
        <v>722</v>
      </c>
      <c r="H7" s="382" t="s">
        <v>723</v>
      </c>
    </row>
    <row r="8" spans="1:8" ht="13.2" customHeight="1">
      <c r="A8" s="380" t="s">
        <v>724</v>
      </c>
      <c r="B8" s="12" t="s">
        <v>38</v>
      </c>
      <c r="C8" s="19" t="s">
        <v>717</v>
      </c>
      <c r="D8" s="383">
        <v>18</v>
      </c>
      <c r="E8" s="19" t="s">
        <v>718</v>
      </c>
      <c r="F8" s="12"/>
      <c r="G8" s="53" t="s">
        <v>725</v>
      </c>
      <c r="H8" s="382" t="s">
        <v>723</v>
      </c>
    </row>
    <row r="9" spans="1:8" ht="13.2" customHeight="1">
      <c r="A9" s="380" t="s">
        <v>726</v>
      </c>
      <c r="B9" s="12" t="s">
        <v>727</v>
      </c>
      <c r="C9" s="19" t="s">
        <v>717</v>
      </c>
      <c r="D9" s="383">
        <v>19</v>
      </c>
      <c r="E9" s="19" t="s">
        <v>718</v>
      </c>
      <c r="F9" s="12"/>
      <c r="G9" s="12" t="s">
        <v>728</v>
      </c>
      <c r="H9" s="382" t="s">
        <v>729</v>
      </c>
    </row>
    <row r="10" spans="1:8" ht="13.2" customHeight="1">
      <c r="A10" s="380" t="s">
        <v>730</v>
      </c>
      <c r="B10" s="12" t="s">
        <v>731</v>
      </c>
      <c r="C10" s="19" t="s">
        <v>717</v>
      </c>
      <c r="D10" s="381">
        <v>20</v>
      </c>
      <c r="E10" s="19" t="s">
        <v>700</v>
      </c>
      <c r="F10" s="12"/>
      <c r="G10" s="12" t="s">
        <v>732</v>
      </c>
      <c r="H10" s="382" t="s">
        <v>733</v>
      </c>
    </row>
    <row r="11" spans="1:8" ht="13.2" customHeight="1">
      <c r="A11" s="380" t="s">
        <v>734</v>
      </c>
      <c r="B11" s="12" t="s">
        <v>38</v>
      </c>
      <c r="C11" s="19" t="s">
        <v>735</v>
      </c>
      <c r="D11" s="381">
        <v>21</v>
      </c>
      <c r="E11" s="19" t="s">
        <v>700</v>
      </c>
      <c r="F11" s="12"/>
      <c r="G11" s="53" t="s">
        <v>736</v>
      </c>
      <c r="H11" s="382" t="s">
        <v>737</v>
      </c>
    </row>
    <row r="12" spans="1:8" ht="13.2" customHeight="1">
      <c r="A12" s="380" t="s">
        <v>738</v>
      </c>
      <c r="B12" s="12" t="s">
        <v>739</v>
      </c>
      <c r="C12" s="19" t="s">
        <v>740</v>
      </c>
      <c r="D12" s="381">
        <v>22</v>
      </c>
      <c r="E12" s="19" t="s">
        <v>700</v>
      </c>
      <c r="F12" s="12" t="s">
        <v>741</v>
      </c>
      <c r="G12" s="12" t="s">
        <v>742</v>
      </c>
      <c r="H12" s="382" t="s">
        <v>743</v>
      </c>
    </row>
    <row r="13" spans="1:8" ht="13.2" customHeight="1">
      <c r="A13" s="380" t="s">
        <v>744</v>
      </c>
      <c r="B13" s="12" t="s">
        <v>745</v>
      </c>
      <c r="C13" s="19" t="s">
        <v>699</v>
      </c>
      <c r="D13" s="381">
        <v>24</v>
      </c>
      <c r="E13" s="19" t="s">
        <v>700</v>
      </c>
      <c r="F13" s="53" t="s">
        <v>746</v>
      </c>
      <c r="G13" s="12" t="s">
        <v>747</v>
      </c>
      <c r="H13" s="382" t="s">
        <v>748</v>
      </c>
    </row>
    <row r="14" spans="1:8" ht="13.2" customHeight="1">
      <c r="A14" s="380" t="s">
        <v>749</v>
      </c>
      <c r="B14" s="12" t="s">
        <v>705</v>
      </c>
      <c r="C14" s="19" t="s">
        <v>699</v>
      </c>
      <c r="D14" s="381">
        <v>25</v>
      </c>
      <c r="E14" s="19" t="s">
        <v>700</v>
      </c>
      <c r="F14" s="12" t="s">
        <v>750</v>
      </c>
      <c r="G14" s="12" t="s">
        <v>751</v>
      </c>
      <c r="H14" s="382" t="s">
        <v>752</v>
      </c>
    </row>
    <row r="15" spans="1:8" ht="13.2" customHeight="1">
      <c r="A15" s="380" t="s">
        <v>753</v>
      </c>
      <c r="B15" s="12" t="s">
        <v>754</v>
      </c>
      <c r="C15" s="19" t="s">
        <v>755</v>
      </c>
      <c r="D15" s="381">
        <v>27</v>
      </c>
      <c r="E15" s="19" t="s">
        <v>700</v>
      </c>
      <c r="F15" s="12" t="s">
        <v>756</v>
      </c>
      <c r="G15" s="53" t="s">
        <v>757</v>
      </c>
      <c r="H15" s="382" t="s">
        <v>758</v>
      </c>
    </row>
    <row r="16" spans="1:8">
      <c r="A16" s="380" t="s">
        <v>759</v>
      </c>
      <c r="B16" s="12" t="s">
        <v>754</v>
      </c>
      <c r="C16" s="54" t="s">
        <v>755</v>
      </c>
      <c r="D16" s="383">
        <v>28</v>
      </c>
      <c r="E16" s="19" t="s">
        <v>760</v>
      </c>
      <c r="F16" s="12" t="s">
        <v>761</v>
      </c>
      <c r="G16" s="53" t="s">
        <v>762</v>
      </c>
      <c r="H16" s="382" t="s">
        <v>763</v>
      </c>
    </row>
    <row r="17" spans="1:8" ht="13.2" customHeight="1">
      <c r="A17" s="380" t="s">
        <v>764</v>
      </c>
      <c r="B17" s="12" t="s">
        <v>765</v>
      </c>
      <c r="C17" s="19" t="s">
        <v>699</v>
      </c>
      <c r="D17" s="381">
        <v>31</v>
      </c>
      <c r="E17" s="19" t="s">
        <v>700</v>
      </c>
      <c r="F17" s="12" t="s">
        <v>766</v>
      </c>
      <c r="G17" s="12" t="s">
        <v>767</v>
      </c>
      <c r="H17" s="382" t="s">
        <v>768</v>
      </c>
    </row>
    <row r="18" spans="1:8" ht="13.2" customHeight="1">
      <c r="A18" s="380" t="s">
        <v>769</v>
      </c>
      <c r="B18" s="12" t="s">
        <v>765</v>
      </c>
      <c r="C18" s="19" t="s">
        <v>699</v>
      </c>
      <c r="D18" s="383">
        <v>32</v>
      </c>
      <c r="E18" s="19" t="s">
        <v>770</v>
      </c>
      <c r="F18" s="12" t="s">
        <v>771</v>
      </c>
      <c r="G18" s="12" t="s">
        <v>772</v>
      </c>
      <c r="H18" s="382" t="s">
        <v>768</v>
      </c>
    </row>
    <row r="19" spans="1:8" ht="13.2" customHeight="1">
      <c r="A19" s="380" t="s">
        <v>773</v>
      </c>
      <c r="B19" s="12" t="s">
        <v>765</v>
      </c>
      <c r="C19" s="19" t="s">
        <v>699</v>
      </c>
      <c r="D19" s="381">
        <v>34</v>
      </c>
      <c r="E19" s="19" t="s">
        <v>700</v>
      </c>
      <c r="F19" s="12" t="s">
        <v>774</v>
      </c>
      <c r="G19" s="12" t="s">
        <v>775</v>
      </c>
      <c r="H19" s="382" t="s">
        <v>776</v>
      </c>
    </row>
    <row r="20" spans="1:8" ht="13.2" customHeight="1">
      <c r="A20" s="380" t="s">
        <v>777</v>
      </c>
      <c r="B20" s="12" t="s">
        <v>765</v>
      </c>
      <c r="C20" s="19" t="s">
        <v>699</v>
      </c>
      <c r="D20" s="381">
        <v>42</v>
      </c>
      <c r="E20" s="19" t="s">
        <v>700</v>
      </c>
      <c r="F20" s="12" t="s">
        <v>778</v>
      </c>
      <c r="G20" s="12" t="s">
        <v>779</v>
      </c>
      <c r="H20" s="382" t="s">
        <v>780</v>
      </c>
    </row>
    <row r="21" spans="1:8" ht="13.2" customHeight="1">
      <c r="A21" s="380" t="s">
        <v>781</v>
      </c>
      <c r="B21" s="12" t="s">
        <v>782</v>
      </c>
      <c r="C21" s="54" t="s">
        <v>755</v>
      </c>
      <c r="D21" s="383">
        <v>44</v>
      </c>
      <c r="E21" s="19" t="s">
        <v>20</v>
      </c>
      <c r="F21" s="12" t="s">
        <v>783</v>
      </c>
      <c r="G21" s="12" t="s">
        <v>784</v>
      </c>
      <c r="H21" s="382" t="s">
        <v>785</v>
      </c>
    </row>
    <row r="22" spans="1:8" ht="13.2" customHeight="1">
      <c r="A22" s="380" t="s">
        <v>786</v>
      </c>
      <c r="B22" s="12" t="s">
        <v>782</v>
      </c>
      <c r="C22" s="54" t="s">
        <v>755</v>
      </c>
      <c r="D22" s="383">
        <v>45</v>
      </c>
      <c r="E22" s="19" t="s">
        <v>20</v>
      </c>
      <c r="F22" s="53" t="s">
        <v>787</v>
      </c>
      <c r="G22" s="12" t="s">
        <v>788</v>
      </c>
      <c r="H22" s="382" t="s">
        <v>789</v>
      </c>
    </row>
    <row r="23" spans="1:8">
      <c r="A23" s="380" t="s">
        <v>790</v>
      </c>
      <c r="B23" s="12" t="s">
        <v>782</v>
      </c>
      <c r="C23" s="54" t="s">
        <v>755</v>
      </c>
      <c r="D23" s="383">
        <v>46</v>
      </c>
      <c r="E23" s="19" t="s">
        <v>791</v>
      </c>
      <c r="F23" s="53" t="s">
        <v>792</v>
      </c>
      <c r="G23" s="12" t="s">
        <v>793</v>
      </c>
      <c r="H23" s="382" t="s">
        <v>794</v>
      </c>
    </row>
    <row r="24" spans="1:8" ht="13.2" customHeight="1">
      <c r="A24" s="380" t="s">
        <v>795</v>
      </c>
      <c r="B24" s="12" t="s">
        <v>782</v>
      </c>
      <c r="C24" s="54" t="s">
        <v>755</v>
      </c>
      <c r="D24" s="383">
        <v>47</v>
      </c>
      <c r="E24" s="19" t="s">
        <v>20</v>
      </c>
      <c r="F24" s="12" t="s">
        <v>796</v>
      </c>
      <c r="G24" s="12" t="s">
        <v>797</v>
      </c>
      <c r="H24" s="382" t="s">
        <v>798</v>
      </c>
    </row>
    <row r="25" spans="1:8" ht="13.2" customHeight="1">
      <c r="A25" s="380" t="s">
        <v>799</v>
      </c>
      <c r="B25" s="12" t="s">
        <v>782</v>
      </c>
      <c r="C25" s="54" t="s">
        <v>755</v>
      </c>
      <c r="D25" s="383">
        <v>48</v>
      </c>
      <c r="E25" s="19" t="s">
        <v>20</v>
      </c>
      <c r="F25" s="53" t="s">
        <v>800</v>
      </c>
      <c r="G25" s="12" t="s">
        <v>801</v>
      </c>
      <c r="H25" s="382" t="s">
        <v>798</v>
      </c>
    </row>
    <row r="26" spans="1:8" ht="13.2" customHeight="1">
      <c r="A26" s="380" t="s">
        <v>802</v>
      </c>
      <c r="B26" s="12" t="s">
        <v>803</v>
      </c>
      <c r="C26" s="19" t="s">
        <v>804</v>
      </c>
      <c r="D26" s="383">
        <v>49</v>
      </c>
      <c r="E26" s="19" t="s">
        <v>20</v>
      </c>
      <c r="F26" s="12" t="s">
        <v>805</v>
      </c>
      <c r="G26" s="12" t="s">
        <v>806</v>
      </c>
      <c r="H26" s="382" t="s">
        <v>807</v>
      </c>
    </row>
    <row r="27" spans="1:8" ht="13.2" customHeight="1">
      <c r="A27" s="380" t="s">
        <v>808</v>
      </c>
      <c r="B27" s="12" t="s">
        <v>809</v>
      </c>
      <c r="C27" s="54" t="s">
        <v>755</v>
      </c>
      <c r="D27" s="383">
        <v>50</v>
      </c>
      <c r="E27" s="19" t="s">
        <v>20</v>
      </c>
      <c r="F27" s="12" t="s">
        <v>810</v>
      </c>
      <c r="G27" s="12" t="s">
        <v>811</v>
      </c>
      <c r="H27" s="382" t="s">
        <v>812</v>
      </c>
    </row>
    <row r="28" spans="1:8" ht="13.2" customHeight="1">
      <c r="A28" s="380" t="s">
        <v>813</v>
      </c>
      <c r="B28" s="12" t="s">
        <v>814</v>
      </c>
      <c r="C28" s="54" t="s">
        <v>755</v>
      </c>
      <c r="D28" s="385">
        <v>51</v>
      </c>
      <c r="E28" s="19" t="s">
        <v>20</v>
      </c>
      <c r="F28" s="12" t="s">
        <v>815</v>
      </c>
      <c r="G28" s="53" t="s">
        <v>816</v>
      </c>
      <c r="H28" s="382" t="s">
        <v>817</v>
      </c>
    </row>
    <row r="29" spans="1:8" ht="13.2" customHeight="1">
      <c r="A29" s="380" t="s">
        <v>818</v>
      </c>
      <c r="B29" s="12" t="s">
        <v>819</v>
      </c>
      <c r="C29" s="54" t="s">
        <v>755</v>
      </c>
      <c r="D29" s="383">
        <v>52</v>
      </c>
      <c r="E29" s="19" t="s">
        <v>20</v>
      </c>
      <c r="F29" s="12" t="s">
        <v>820</v>
      </c>
      <c r="G29" s="12" t="s">
        <v>821</v>
      </c>
      <c r="H29" s="382" t="s">
        <v>822</v>
      </c>
    </row>
    <row r="30" spans="1:8" ht="13.2" customHeight="1">
      <c r="A30" s="380" t="s">
        <v>823</v>
      </c>
      <c r="B30" s="12" t="s">
        <v>824</v>
      </c>
      <c r="C30" s="54" t="s">
        <v>755</v>
      </c>
      <c r="D30" s="383">
        <v>53</v>
      </c>
      <c r="E30" s="19" t="s">
        <v>20</v>
      </c>
      <c r="F30" s="12" t="s">
        <v>825</v>
      </c>
      <c r="G30" s="53" t="s">
        <v>826</v>
      </c>
      <c r="H30" s="382" t="s">
        <v>827</v>
      </c>
    </row>
    <row r="31" spans="1:8" ht="13.2" customHeight="1">
      <c r="A31" s="380" t="s">
        <v>828</v>
      </c>
      <c r="B31" s="12" t="s">
        <v>91</v>
      </c>
      <c r="C31" s="19" t="s">
        <v>829</v>
      </c>
      <c r="D31" s="384">
        <v>54</v>
      </c>
      <c r="E31" s="19" t="s">
        <v>20</v>
      </c>
      <c r="F31" s="53" t="s">
        <v>830</v>
      </c>
      <c r="G31" s="53" t="s">
        <v>831</v>
      </c>
      <c r="H31" s="382" t="s">
        <v>832</v>
      </c>
    </row>
    <row r="32" spans="1:8" ht="13.2" customHeight="1">
      <c r="A32" s="380" t="s">
        <v>833</v>
      </c>
      <c r="B32" s="12" t="s">
        <v>834</v>
      </c>
      <c r="C32" s="19" t="s">
        <v>804</v>
      </c>
      <c r="D32" s="383">
        <v>55</v>
      </c>
      <c r="E32" s="19" t="s">
        <v>20</v>
      </c>
      <c r="F32" s="12" t="s">
        <v>835</v>
      </c>
      <c r="G32" s="12" t="s">
        <v>836</v>
      </c>
      <c r="H32" s="382" t="s">
        <v>837</v>
      </c>
    </row>
    <row r="33" spans="1:8" ht="13.2" customHeight="1">
      <c r="A33" s="380" t="s">
        <v>838</v>
      </c>
      <c r="B33" s="12" t="s">
        <v>716</v>
      </c>
      <c r="C33" s="19" t="s">
        <v>717</v>
      </c>
      <c r="D33" s="384">
        <v>56</v>
      </c>
      <c r="E33" s="19" t="s">
        <v>20</v>
      </c>
      <c r="F33" s="12"/>
      <c r="G33" s="53" t="s">
        <v>839</v>
      </c>
      <c r="H33" s="382" t="s">
        <v>840</v>
      </c>
    </row>
    <row r="34" spans="1:8" ht="13.2" customHeight="1">
      <c r="A34" s="380" t="s">
        <v>841</v>
      </c>
      <c r="B34" s="12" t="s">
        <v>716</v>
      </c>
      <c r="C34" s="19" t="s">
        <v>717</v>
      </c>
      <c r="D34" s="384">
        <v>57</v>
      </c>
      <c r="E34" s="19" t="s">
        <v>20</v>
      </c>
      <c r="F34" s="12"/>
      <c r="G34" s="53" t="s">
        <v>842</v>
      </c>
      <c r="H34" s="382" t="s">
        <v>843</v>
      </c>
    </row>
    <row r="35" spans="1:8" ht="13.2" customHeight="1">
      <c r="A35" s="380" t="s">
        <v>844</v>
      </c>
      <c r="B35" s="12" t="s">
        <v>38</v>
      </c>
      <c r="C35" s="19" t="s">
        <v>717</v>
      </c>
      <c r="D35" s="384">
        <v>58</v>
      </c>
      <c r="E35" s="19" t="s">
        <v>20</v>
      </c>
      <c r="F35" s="12"/>
      <c r="G35" s="53" t="s">
        <v>845</v>
      </c>
      <c r="H35" s="382" t="s">
        <v>846</v>
      </c>
    </row>
    <row r="36" spans="1:8" ht="13.2" customHeight="1">
      <c r="A36" s="380" t="s">
        <v>847</v>
      </c>
      <c r="B36" s="12" t="s">
        <v>848</v>
      </c>
      <c r="C36" s="19" t="s">
        <v>717</v>
      </c>
      <c r="D36" s="384">
        <v>59</v>
      </c>
      <c r="E36" s="19" t="s">
        <v>20</v>
      </c>
      <c r="F36" s="12"/>
      <c r="G36" s="12" t="s">
        <v>849</v>
      </c>
      <c r="H36" s="382" t="s">
        <v>850</v>
      </c>
    </row>
    <row r="37" spans="1:8" ht="13.2" customHeight="1">
      <c r="A37" s="380" t="s">
        <v>851</v>
      </c>
      <c r="B37" s="12" t="s">
        <v>727</v>
      </c>
      <c r="C37" s="19" t="s">
        <v>717</v>
      </c>
      <c r="D37" s="384">
        <v>60</v>
      </c>
      <c r="E37" s="19" t="s">
        <v>20</v>
      </c>
      <c r="F37" s="12"/>
      <c r="G37" s="12" t="s">
        <v>852</v>
      </c>
      <c r="H37" s="382" t="s">
        <v>853</v>
      </c>
    </row>
    <row r="38" spans="1:8" ht="13.2" customHeight="1">
      <c r="A38" s="380" t="s">
        <v>854</v>
      </c>
      <c r="B38" s="12" t="s">
        <v>855</v>
      </c>
      <c r="C38" s="19" t="s">
        <v>699</v>
      </c>
      <c r="D38" s="381">
        <v>64</v>
      </c>
      <c r="E38" s="19" t="s">
        <v>700</v>
      </c>
      <c r="F38" s="53" t="s">
        <v>856</v>
      </c>
      <c r="G38" s="12" t="s">
        <v>857</v>
      </c>
      <c r="H38" s="382" t="s">
        <v>858</v>
      </c>
    </row>
    <row r="39" spans="1:8" ht="13.2" customHeight="1">
      <c r="A39" s="380" t="s">
        <v>859</v>
      </c>
      <c r="B39" s="12" t="s">
        <v>860</v>
      </c>
      <c r="C39" s="19" t="s">
        <v>699</v>
      </c>
      <c r="D39" s="381">
        <v>65</v>
      </c>
      <c r="E39" s="19" t="s">
        <v>700</v>
      </c>
      <c r="F39" s="12" t="s">
        <v>861</v>
      </c>
      <c r="G39" s="12" t="s">
        <v>862</v>
      </c>
      <c r="H39" s="382" t="s">
        <v>863</v>
      </c>
    </row>
    <row r="40" spans="1:8" ht="13.2" customHeight="1">
      <c r="A40" s="380" t="s">
        <v>864</v>
      </c>
      <c r="B40" s="12" t="s">
        <v>860</v>
      </c>
      <c r="C40" s="19" t="s">
        <v>699</v>
      </c>
      <c r="D40" s="381">
        <v>66</v>
      </c>
      <c r="E40" s="19" t="s">
        <v>700</v>
      </c>
      <c r="F40" s="53" t="s">
        <v>865</v>
      </c>
      <c r="G40" s="12" t="s">
        <v>866</v>
      </c>
      <c r="H40" s="382" t="s">
        <v>867</v>
      </c>
    </row>
    <row r="41" spans="1:8" ht="13.2" customHeight="1">
      <c r="A41" s="380" t="s">
        <v>868</v>
      </c>
      <c r="B41" s="12" t="s">
        <v>705</v>
      </c>
      <c r="C41" s="19" t="s">
        <v>699</v>
      </c>
      <c r="D41" s="381">
        <v>67</v>
      </c>
      <c r="E41" s="19" t="s">
        <v>700</v>
      </c>
      <c r="F41" s="12" t="s">
        <v>869</v>
      </c>
      <c r="G41" s="12" t="s">
        <v>870</v>
      </c>
      <c r="H41" s="382" t="s">
        <v>871</v>
      </c>
    </row>
    <row r="42" spans="1:8" ht="13.2" customHeight="1">
      <c r="A42" s="380" t="s">
        <v>872</v>
      </c>
      <c r="B42" s="12" t="s">
        <v>803</v>
      </c>
      <c r="C42" s="19" t="s">
        <v>804</v>
      </c>
      <c r="D42" s="383">
        <v>72</v>
      </c>
      <c r="E42" s="19" t="s">
        <v>21</v>
      </c>
      <c r="F42" s="12" t="s">
        <v>873</v>
      </c>
      <c r="G42" s="12" t="s">
        <v>874</v>
      </c>
      <c r="H42" s="382" t="s">
        <v>875</v>
      </c>
    </row>
    <row r="43" spans="1:8">
      <c r="A43" s="380" t="s">
        <v>876</v>
      </c>
      <c r="B43" s="12" t="s">
        <v>803</v>
      </c>
      <c r="C43" s="19" t="s">
        <v>804</v>
      </c>
      <c r="D43" s="383">
        <v>73</v>
      </c>
      <c r="E43" s="19" t="s">
        <v>791</v>
      </c>
      <c r="F43" s="12" t="s">
        <v>877</v>
      </c>
      <c r="G43" s="12" t="s">
        <v>878</v>
      </c>
      <c r="H43" s="382" t="s">
        <v>875</v>
      </c>
    </row>
    <row r="44" spans="1:8" ht="13.2" customHeight="1">
      <c r="A44" s="380" t="s">
        <v>879</v>
      </c>
      <c r="B44" s="12" t="s">
        <v>880</v>
      </c>
      <c r="C44" s="19" t="s">
        <v>804</v>
      </c>
      <c r="D44" s="383">
        <v>74</v>
      </c>
      <c r="E44" s="19" t="s">
        <v>21</v>
      </c>
      <c r="F44" s="12" t="s">
        <v>881</v>
      </c>
      <c r="G44" s="12" t="s">
        <v>882</v>
      </c>
      <c r="H44" s="382" t="s">
        <v>883</v>
      </c>
    </row>
    <row r="45" spans="1:8" ht="13.2" customHeight="1">
      <c r="A45" s="380" t="s">
        <v>884</v>
      </c>
      <c r="B45" s="12" t="s">
        <v>880</v>
      </c>
      <c r="C45" s="19" t="s">
        <v>804</v>
      </c>
      <c r="D45" s="383">
        <v>75</v>
      </c>
      <c r="E45" s="19" t="s">
        <v>21</v>
      </c>
      <c r="F45" s="12" t="s">
        <v>885</v>
      </c>
      <c r="G45" s="12" t="s">
        <v>886</v>
      </c>
      <c r="H45" s="382" t="s">
        <v>887</v>
      </c>
    </row>
    <row r="46" spans="1:8" ht="13.2" customHeight="1">
      <c r="A46" s="380" t="s">
        <v>888</v>
      </c>
      <c r="B46" s="12" t="s">
        <v>889</v>
      </c>
      <c r="C46" s="19" t="s">
        <v>740</v>
      </c>
      <c r="D46" s="381">
        <v>76</v>
      </c>
      <c r="E46" s="19" t="s">
        <v>700</v>
      </c>
      <c r="F46" s="12" t="s">
        <v>890</v>
      </c>
      <c r="G46" s="53" t="s">
        <v>891</v>
      </c>
      <c r="H46" s="382" t="s">
        <v>892</v>
      </c>
    </row>
    <row r="47" spans="1:8" ht="13.2" customHeight="1">
      <c r="A47" s="380" t="s">
        <v>893</v>
      </c>
      <c r="B47" s="12" t="s">
        <v>31</v>
      </c>
      <c r="C47" s="19" t="s">
        <v>740</v>
      </c>
      <c r="D47" s="384">
        <v>77</v>
      </c>
      <c r="E47" s="19" t="s">
        <v>21</v>
      </c>
      <c r="F47" s="12" t="s">
        <v>894</v>
      </c>
      <c r="G47" s="12" t="s">
        <v>895</v>
      </c>
      <c r="H47" s="382" t="s">
        <v>896</v>
      </c>
    </row>
    <row r="48" spans="1:8" ht="13.2" customHeight="1">
      <c r="A48" s="380" t="s">
        <v>897</v>
      </c>
      <c r="B48" s="12" t="s">
        <v>31</v>
      </c>
      <c r="C48" s="19" t="s">
        <v>740</v>
      </c>
      <c r="D48" s="384">
        <v>78</v>
      </c>
      <c r="E48" s="19" t="s">
        <v>791</v>
      </c>
      <c r="F48" s="12" t="s">
        <v>898</v>
      </c>
      <c r="G48" s="12" t="s">
        <v>899</v>
      </c>
      <c r="H48" s="382" t="s">
        <v>900</v>
      </c>
    </row>
    <row r="49" spans="1:8" ht="13.2" customHeight="1">
      <c r="A49" s="380" t="s">
        <v>901</v>
      </c>
      <c r="B49" s="12" t="s">
        <v>902</v>
      </c>
      <c r="C49" s="19" t="s">
        <v>740</v>
      </c>
      <c r="D49" s="381">
        <v>80</v>
      </c>
      <c r="E49" s="19" t="s">
        <v>700</v>
      </c>
      <c r="F49" s="12" t="s">
        <v>903</v>
      </c>
      <c r="G49" s="12" t="s">
        <v>904</v>
      </c>
      <c r="H49" s="382" t="s">
        <v>905</v>
      </c>
    </row>
    <row r="50" spans="1:8" ht="13.2" customHeight="1">
      <c r="A50" s="380" t="s">
        <v>906</v>
      </c>
      <c r="B50" s="12" t="s">
        <v>92</v>
      </c>
      <c r="C50" s="19" t="s">
        <v>740</v>
      </c>
      <c r="D50" s="384">
        <v>81</v>
      </c>
      <c r="E50" s="19" t="s">
        <v>21</v>
      </c>
      <c r="F50" s="12" t="s">
        <v>907</v>
      </c>
      <c r="G50" s="53" t="s">
        <v>908</v>
      </c>
      <c r="H50" s="382" t="s">
        <v>909</v>
      </c>
    </row>
    <row r="51" spans="1:8" ht="13.2" customHeight="1">
      <c r="A51" s="380" t="s">
        <v>910</v>
      </c>
      <c r="B51" s="12" t="s">
        <v>31</v>
      </c>
      <c r="C51" s="19" t="s">
        <v>740</v>
      </c>
      <c r="D51" s="384">
        <v>82</v>
      </c>
      <c r="E51" s="19" t="s">
        <v>21</v>
      </c>
      <c r="F51" s="12" t="s">
        <v>911</v>
      </c>
      <c r="G51" s="12" t="s">
        <v>912</v>
      </c>
      <c r="H51" s="382" t="s">
        <v>913</v>
      </c>
    </row>
    <row r="52" spans="1:8" ht="13.2" customHeight="1">
      <c r="A52" s="380" t="s">
        <v>914</v>
      </c>
      <c r="B52" s="12" t="s">
        <v>889</v>
      </c>
      <c r="C52" s="19" t="s">
        <v>740</v>
      </c>
      <c r="D52" s="384">
        <v>83</v>
      </c>
      <c r="E52" s="19" t="s">
        <v>791</v>
      </c>
      <c r="F52" s="12" t="s">
        <v>915</v>
      </c>
      <c r="G52" s="12" t="s">
        <v>916</v>
      </c>
      <c r="H52" s="382" t="s">
        <v>913</v>
      </c>
    </row>
    <row r="53" spans="1:8" ht="13.2" customHeight="1">
      <c r="A53" s="380" t="s">
        <v>917</v>
      </c>
      <c r="B53" s="12" t="s">
        <v>889</v>
      </c>
      <c r="C53" s="19" t="s">
        <v>740</v>
      </c>
      <c r="D53" s="381">
        <v>84</v>
      </c>
      <c r="E53" s="19" t="s">
        <v>700</v>
      </c>
      <c r="F53" s="53" t="s">
        <v>918</v>
      </c>
      <c r="G53" s="12" t="s">
        <v>919</v>
      </c>
      <c r="H53" s="382" t="s">
        <v>920</v>
      </c>
    </row>
    <row r="54" spans="1:8" ht="13.2" customHeight="1">
      <c r="A54" s="380" t="s">
        <v>921</v>
      </c>
      <c r="B54" s="12" t="s">
        <v>922</v>
      </c>
      <c r="C54" s="19" t="s">
        <v>735</v>
      </c>
      <c r="D54" s="384">
        <v>86</v>
      </c>
      <c r="E54" s="19" t="s">
        <v>21</v>
      </c>
      <c r="F54" s="12"/>
      <c r="G54" s="53" t="s">
        <v>923</v>
      </c>
      <c r="H54" s="382" t="s">
        <v>924</v>
      </c>
    </row>
    <row r="55" spans="1:8" ht="13.2" customHeight="1">
      <c r="A55" s="380" t="s">
        <v>925</v>
      </c>
      <c r="B55" s="12" t="s">
        <v>716</v>
      </c>
      <c r="C55" s="19" t="s">
        <v>717</v>
      </c>
      <c r="D55" s="384">
        <v>87</v>
      </c>
      <c r="E55" s="19" t="s">
        <v>21</v>
      </c>
      <c r="F55" s="12"/>
      <c r="G55" s="53" t="s">
        <v>926</v>
      </c>
      <c r="H55" s="382" t="s">
        <v>927</v>
      </c>
    </row>
    <row r="56" spans="1:8" ht="13.2" customHeight="1">
      <c r="A56" s="386" t="s">
        <v>928</v>
      </c>
      <c r="B56" s="61" t="s">
        <v>929</v>
      </c>
      <c r="C56" s="54" t="s">
        <v>755</v>
      </c>
      <c r="D56" s="383">
        <v>88</v>
      </c>
      <c r="E56" s="54" t="s">
        <v>21</v>
      </c>
      <c r="F56" s="61"/>
      <c r="G56" s="134" t="s">
        <v>930</v>
      </c>
      <c r="H56" s="387" t="s">
        <v>931</v>
      </c>
    </row>
    <row r="57" spans="1:8" ht="13.2" customHeight="1">
      <c r="A57" s="380" t="s">
        <v>932</v>
      </c>
      <c r="B57" s="12" t="s">
        <v>933</v>
      </c>
      <c r="C57" s="19" t="s">
        <v>717</v>
      </c>
      <c r="D57" s="384">
        <v>89</v>
      </c>
      <c r="E57" s="19" t="s">
        <v>21</v>
      </c>
      <c r="F57" s="12"/>
      <c r="G57" s="53" t="s">
        <v>934</v>
      </c>
      <c r="H57" s="382" t="s">
        <v>935</v>
      </c>
    </row>
    <row r="58" spans="1:8" ht="13.2" customHeight="1">
      <c r="A58" s="380" t="s">
        <v>936</v>
      </c>
      <c r="B58" s="12" t="s">
        <v>933</v>
      </c>
      <c r="C58" s="19" t="s">
        <v>717</v>
      </c>
      <c r="D58" s="384">
        <v>90</v>
      </c>
      <c r="E58" s="19" t="s">
        <v>21</v>
      </c>
      <c r="F58" s="12"/>
      <c r="G58" s="53" t="s">
        <v>937</v>
      </c>
      <c r="H58" s="382" t="s">
        <v>938</v>
      </c>
    </row>
    <row r="59" spans="1:8" ht="13.2" customHeight="1">
      <c r="A59" s="380" t="s">
        <v>939</v>
      </c>
      <c r="B59" s="12" t="s">
        <v>933</v>
      </c>
      <c r="C59" s="19" t="s">
        <v>735</v>
      </c>
      <c r="D59" s="384">
        <v>91</v>
      </c>
      <c r="E59" s="19" t="s">
        <v>21</v>
      </c>
      <c r="F59" s="12"/>
      <c r="G59" s="53" t="s">
        <v>937</v>
      </c>
      <c r="H59" s="382" t="s">
        <v>940</v>
      </c>
    </row>
    <row r="60" spans="1:8" ht="13.2" customHeight="1">
      <c r="A60" s="380" t="s">
        <v>941</v>
      </c>
      <c r="B60" s="12" t="s">
        <v>942</v>
      </c>
      <c r="C60" s="19" t="s">
        <v>717</v>
      </c>
      <c r="D60" s="381">
        <v>92</v>
      </c>
      <c r="E60" s="19" t="s">
        <v>700</v>
      </c>
      <c r="F60" s="12"/>
      <c r="G60" s="53" t="s">
        <v>943</v>
      </c>
      <c r="H60" s="382" t="s">
        <v>905</v>
      </c>
    </row>
    <row r="61" spans="1:8" ht="13.2" customHeight="1">
      <c r="A61" s="380" t="s">
        <v>944</v>
      </c>
      <c r="B61" s="12" t="s">
        <v>929</v>
      </c>
      <c r="C61" s="19" t="s">
        <v>717</v>
      </c>
      <c r="D61" s="384">
        <v>94</v>
      </c>
      <c r="E61" s="19" t="s">
        <v>791</v>
      </c>
      <c r="F61" s="12"/>
      <c r="G61" s="53" t="s">
        <v>945</v>
      </c>
      <c r="H61" s="382" t="s">
        <v>946</v>
      </c>
    </row>
    <row r="62" spans="1:8" ht="13.2" customHeight="1">
      <c r="A62" s="380" t="s">
        <v>947</v>
      </c>
      <c r="B62" s="12" t="s">
        <v>948</v>
      </c>
      <c r="C62" s="19" t="s">
        <v>717</v>
      </c>
      <c r="D62" s="381">
        <v>95</v>
      </c>
      <c r="E62" s="19" t="s">
        <v>700</v>
      </c>
      <c r="F62" s="12"/>
      <c r="G62" s="12" t="s">
        <v>949</v>
      </c>
      <c r="H62" s="382" t="s">
        <v>950</v>
      </c>
    </row>
    <row r="63" spans="1:8" ht="13.2" customHeight="1">
      <c r="A63" s="380" t="s">
        <v>951</v>
      </c>
      <c r="B63" s="12" t="s">
        <v>38</v>
      </c>
      <c r="C63" s="19" t="s">
        <v>717</v>
      </c>
      <c r="D63" s="384">
        <v>97</v>
      </c>
      <c r="E63" s="19" t="s">
        <v>791</v>
      </c>
      <c r="F63" s="12"/>
      <c r="G63" s="53" t="s">
        <v>952</v>
      </c>
      <c r="H63" s="382" t="s">
        <v>953</v>
      </c>
    </row>
    <row r="64" spans="1:8" ht="13.2" customHeight="1">
      <c r="A64" s="380" t="s">
        <v>954</v>
      </c>
      <c r="B64" s="12" t="s">
        <v>955</v>
      </c>
      <c r="C64" s="19" t="s">
        <v>717</v>
      </c>
      <c r="D64" s="384">
        <v>98</v>
      </c>
      <c r="E64" s="19" t="s">
        <v>791</v>
      </c>
      <c r="F64" s="12"/>
      <c r="G64" s="12" t="s">
        <v>956</v>
      </c>
      <c r="H64" s="382" t="s">
        <v>957</v>
      </c>
    </row>
    <row r="65" spans="1:8" ht="13.2" customHeight="1">
      <c r="A65" s="380" t="s">
        <v>958</v>
      </c>
      <c r="B65" s="12" t="s">
        <v>91</v>
      </c>
      <c r="C65" s="19" t="s">
        <v>829</v>
      </c>
      <c r="D65" s="384">
        <v>99</v>
      </c>
      <c r="E65" s="19" t="s">
        <v>21</v>
      </c>
      <c r="F65" s="53" t="s">
        <v>959</v>
      </c>
      <c r="G65" s="53" t="s">
        <v>960</v>
      </c>
      <c r="H65" s="382" t="s">
        <v>961</v>
      </c>
    </row>
    <row r="66" spans="1:8" ht="13.2" customHeight="1">
      <c r="A66" s="380" t="s">
        <v>962</v>
      </c>
      <c r="B66" s="12" t="s">
        <v>963</v>
      </c>
      <c r="C66" s="19" t="s">
        <v>717</v>
      </c>
      <c r="D66" s="384">
        <v>100</v>
      </c>
      <c r="E66" s="19" t="s">
        <v>21</v>
      </c>
      <c r="F66" s="12"/>
      <c r="G66" s="53" t="s">
        <v>926</v>
      </c>
      <c r="H66" s="382" t="s">
        <v>927</v>
      </c>
    </row>
    <row r="67" spans="1:8" ht="13.2" customHeight="1">
      <c r="A67" s="380" t="s">
        <v>964</v>
      </c>
      <c r="B67" s="12" t="s">
        <v>38</v>
      </c>
      <c r="C67" s="19" t="s">
        <v>717</v>
      </c>
      <c r="D67" s="384">
        <v>101</v>
      </c>
      <c r="E67" s="19" t="s">
        <v>21</v>
      </c>
      <c r="F67" s="12"/>
      <c r="G67" s="53" t="s">
        <v>965</v>
      </c>
      <c r="H67" s="382" t="s">
        <v>966</v>
      </c>
    </row>
    <row r="68" spans="1:8" ht="13.2" customHeight="1">
      <c r="A68" s="386" t="s">
        <v>967</v>
      </c>
      <c r="B68" s="61" t="s">
        <v>86</v>
      </c>
      <c r="C68" s="54" t="s">
        <v>968</v>
      </c>
      <c r="D68" s="384">
        <v>102</v>
      </c>
      <c r="E68" s="54" t="s">
        <v>21</v>
      </c>
      <c r="F68" s="134" t="s">
        <v>969</v>
      </c>
      <c r="G68" s="134" t="s">
        <v>970</v>
      </c>
      <c r="H68" s="387" t="s">
        <v>971</v>
      </c>
    </row>
    <row r="69" spans="1:8" ht="13.2" customHeight="1">
      <c r="A69" s="386" t="s">
        <v>972</v>
      </c>
      <c r="B69" s="61" t="s">
        <v>87</v>
      </c>
      <c r="C69" s="54" t="s">
        <v>968</v>
      </c>
      <c r="D69" s="384">
        <v>103</v>
      </c>
      <c r="E69" s="54" t="s">
        <v>21</v>
      </c>
      <c r="F69" s="61" t="s">
        <v>973</v>
      </c>
      <c r="G69" s="134" t="s">
        <v>974</v>
      </c>
      <c r="H69" s="387" t="s">
        <v>975</v>
      </c>
    </row>
    <row r="70" spans="1:8" ht="13.2" customHeight="1">
      <c r="A70" s="380" t="s">
        <v>976</v>
      </c>
      <c r="B70" s="12" t="s">
        <v>977</v>
      </c>
      <c r="C70" s="19" t="s">
        <v>717</v>
      </c>
      <c r="D70" s="384">
        <v>104</v>
      </c>
      <c r="E70" s="19" t="s">
        <v>21</v>
      </c>
      <c r="F70" s="12"/>
      <c r="G70" s="53" t="s">
        <v>978</v>
      </c>
      <c r="H70" s="382" t="s">
        <v>979</v>
      </c>
    </row>
    <row r="71" spans="1:8" ht="13.2" customHeight="1">
      <c r="A71" s="380" t="s">
        <v>980</v>
      </c>
      <c r="B71" s="12" t="s">
        <v>981</v>
      </c>
      <c r="C71" s="19" t="s">
        <v>717</v>
      </c>
      <c r="D71" s="384">
        <v>105</v>
      </c>
      <c r="E71" s="19" t="s">
        <v>21</v>
      </c>
      <c r="F71" s="12"/>
      <c r="G71" s="12" t="s">
        <v>982</v>
      </c>
      <c r="H71" s="382" t="s">
        <v>983</v>
      </c>
    </row>
    <row r="72" spans="1:8" ht="13.2" customHeight="1">
      <c r="A72" s="380" t="s">
        <v>984</v>
      </c>
      <c r="B72" s="12" t="s">
        <v>985</v>
      </c>
      <c r="C72" s="19" t="s">
        <v>717</v>
      </c>
      <c r="D72" s="384">
        <v>106</v>
      </c>
      <c r="E72" s="19" t="s">
        <v>21</v>
      </c>
      <c r="F72" s="12"/>
      <c r="G72" s="12" t="s">
        <v>986</v>
      </c>
      <c r="H72" s="382" t="s">
        <v>987</v>
      </c>
    </row>
    <row r="73" spans="1:8" ht="13.2" customHeight="1">
      <c r="A73" s="386" t="s">
        <v>988</v>
      </c>
      <c r="B73" s="61" t="s">
        <v>88</v>
      </c>
      <c r="C73" s="54" t="s">
        <v>968</v>
      </c>
      <c r="D73" s="384">
        <v>108</v>
      </c>
      <c r="E73" s="54" t="s">
        <v>21</v>
      </c>
      <c r="F73" s="61" t="s">
        <v>989</v>
      </c>
      <c r="G73" s="134" t="s">
        <v>990</v>
      </c>
      <c r="H73" s="387" t="s">
        <v>991</v>
      </c>
    </row>
    <row r="74" spans="1:8" ht="13.2" customHeight="1">
      <c r="A74" s="386" t="s">
        <v>992</v>
      </c>
      <c r="B74" s="61" t="s">
        <v>89</v>
      </c>
      <c r="C74" s="54" t="s">
        <v>968</v>
      </c>
      <c r="D74" s="384">
        <v>109</v>
      </c>
      <c r="E74" s="54" t="s">
        <v>21</v>
      </c>
      <c r="F74" s="134" t="s">
        <v>993</v>
      </c>
      <c r="G74" s="61" t="s">
        <v>994</v>
      </c>
      <c r="H74" s="387" t="s">
        <v>995</v>
      </c>
    </row>
    <row r="75" spans="1:8">
      <c r="A75" s="386" t="s">
        <v>996</v>
      </c>
      <c r="B75" s="61" t="s">
        <v>997</v>
      </c>
      <c r="C75" s="54" t="s">
        <v>755</v>
      </c>
      <c r="D75" s="383">
        <v>110</v>
      </c>
      <c r="E75" s="54" t="s">
        <v>21</v>
      </c>
      <c r="F75" s="61" t="s">
        <v>998</v>
      </c>
      <c r="G75" s="61" t="s">
        <v>999</v>
      </c>
      <c r="H75" s="387" t="s">
        <v>1000</v>
      </c>
    </row>
    <row r="76" spans="1:8" ht="13.2" customHeight="1">
      <c r="A76" s="380" t="s">
        <v>1001</v>
      </c>
      <c r="B76" s="12" t="s">
        <v>814</v>
      </c>
      <c r="C76" s="19"/>
      <c r="D76" s="381">
        <v>111</v>
      </c>
      <c r="E76" s="19" t="s">
        <v>700</v>
      </c>
      <c r="F76" s="53" t="s">
        <v>1002</v>
      </c>
      <c r="G76" s="12" t="s">
        <v>1003</v>
      </c>
      <c r="H76" s="382" t="s">
        <v>1004</v>
      </c>
    </row>
    <row r="77" spans="1:8" ht="13.2" customHeight="1">
      <c r="A77" s="380" t="s">
        <v>1005</v>
      </c>
      <c r="B77" s="12" t="s">
        <v>782</v>
      </c>
      <c r="C77" s="19"/>
      <c r="D77" s="381">
        <v>114</v>
      </c>
      <c r="E77" s="19" t="s">
        <v>700</v>
      </c>
      <c r="F77" s="12" t="s">
        <v>1006</v>
      </c>
      <c r="G77" s="53" t="s">
        <v>1007</v>
      </c>
      <c r="H77" s="382" t="s">
        <v>1008</v>
      </c>
    </row>
    <row r="78" spans="1:8">
      <c r="A78" s="380" t="s">
        <v>1009</v>
      </c>
      <c r="B78" s="12" t="s">
        <v>782</v>
      </c>
      <c r="C78" s="54" t="s">
        <v>755</v>
      </c>
      <c r="D78" s="383">
        <v>115</v>
      </c>
      <c r="E78" s="19" t="s">
        <v>21</v>
      </c>
      <c r="F78" s="12" t="s">
        <v>1010</v>
      </c>
      <c r="G78" s="12" t="s">
        <v>1011</v>
      </c>
      <c r="H78" s="382" t="s">
        <v>1012</v>
      </c>
    </row>
    <row r="79" spans="1:8">
      <c r="A79" s="380" t="s">
        <v>1013</v>
      </c>
      <c r="B79" s="12" t="s">
        <v>880</v>
      </c>
      <c r="C79" s="19" t="s">
        <v>804</v>
      </c>
      <c r="D79" s="383">
        <v>116</v>
      </c>
      <c r="E79" s="19" t="s">
        <v>791</v>
      </c>
      <c r="F79" s="12" t="s">
        <v>1014</v>
      </c>
      <c r="G79" s="12" t="s">
        <v>1015</v>
      </c>
      <c r="H79" s="382" t="s">
        <v>837</v>
      </c>
    </row>
    <row r="80" spans="1:8" ht="13.95" customHeight="1">
      <c r="A80" s="386" t="s">
        <v>1016</v>
      </c>
      <c r="B80" s="61" t="s">
        <v>25</v>
      </c>
      <c r="C80" s="54" t="s">
        <v>968</v>
      </c>
      <c r="D80" s="384">
        <v>117</v>
      </c>
      <c r="E80" s="54" t="s">
        <v>21</v>
      </c>
      <c r="F80" s="61" t="s">
        <v>1017</v>
      </c>
      <c r="G80" s="134" t="s">
        <v>1018</v>
      </c>
      <c r="H80" s="387" t="s">
        <v>1019</v>
      </c>
    </row>
    <row r="81" spans="1:8" ht="13.2" customHeight="1">
      <c r="A81" s="386" t="s">
        <v>1020</v>
      </c>
      <c r="B81" s="61" t="s">
        <v>25</v>
      </c>
      <c r="C81" s="54" t="s">
        <v>968</v>
      </c>
      <c r="D81" s="384">
        <v>118</v>
      </c>
      <c r="E81" s="54" t="s">
        <v>21</v>
      </c>
      <c r="F81" s="61" t="s">
        <v>1021</v>
      </c>
      <c r="G81" s="134" t="s">
        <v>1022</v>
      </c>
      <c r="H81" s="387" t="s">
        <v>1019</v>
      </c>
    </row>
    <row r="82" spans="1:8" ht="13.2" customHeight="1">
      <c r="A82" s="386" t="s">
        <v>1023</v>
      </c>
      <c r="B82" s="61" t="s">
        <v>25</v>
      </c>
      <c r="C82" s="54" t="s">
        <v>968</v>
      </c>
      <c r="D82" s="384">
        <v>119</v>
      </c>
      <c r="E82" s="54" t="s">
        <v>21</v>
      </c>
      <c r="F82" s="61" t="s">
        <v>1024</v>
      </c>
      <c r="G82" s="134" t="s">
        <v>1025</v>
      </c>
      <c r="H82" s="387" t="s">
        <v>1019</v>
      </c>
    </row>
    <row r="83" spans="1:8" ht="13.2" customHeight="1">
      <c r="A83" s="386" t="s">
        <v>1026</v>
      </c>
      <c r="B83" s="61" t="s">
        <v>90</v>
      </c>
      <c r="C83" s="54" t="s">
        <v>968</v>
      </c>
      <c r="D83" s="384">
        <v>120</v>
      </c>
      <c r="E83" s="388" t="s">
        <v>131</v>
      </c>
      <c r="F83" s="61" t="s">
        <v>1027</v>
      </c>
      <c r="G83" s="61" t="s">
        <v>1028</v>
      </c>
      <c r="H83" s="387" t="s">
        <v>1029</v>
      </c>
    </row>
    <row r="84" spans="1:8" ht="13.2" customHeight="1">
      <c r="A84" s="380" t="s">
        <v>1030</v>
      </c>
      <c r="B84" s="12" t="s">
        <v>1031</v>
      </c>
      <c r="C84" s="19" t="s">
        <v>740</v>
      </c>
      <c r="D84" s="381">
        <v>121</v>
      </c>
      <c r="E84" s="19" t="s">
        <v>700</v>
      </c>
      <c r="F84" s="12" t="s">
        <v>1032</v>
      </c>
      <c r="G84" s="12" t="s">
        <v>1033</v>
      </c>
      <c r="H84" s="382" t="s">
        <v>995</v>
      </c>
    </row>
    <row r="85" spans="1:8" ht="13.2" customHeight="1">
      <c r="A85" s="386" t="s">
        <v>1034</v>
      </c>
      <c r="B85" s="61" t="s">
        <v>86</v>
      </c>
      <c r="C85" s="54" t="s">
        <v>968</v>
      </c>
      <c r="D85" s="384">
        <v>122</v>
      </c>
      <c r="E85" s="54" t="s">
        <v>21</v>
      </c>
      <c r="F85" s="134" t="s">
        <v>1035</v>
      </c>
      <c r="G85" s="134" t="s">
        <v>1036</v>
      </c>
      <c r="H85" s="387" t="s">
        <v>1037</v>
      </c>
    </row>
    <row r="86" spans="1:8" ht="13.2" customHeight="1">
      <c r="A86" s="386" t="s">
        <v>1038</v>
      </c>
      <c r="B86" s="61" t="s">
        <v>1039</v>
      </c>
      <c r="C86" s="54" t="s">
        <v>968</v>
      </c>
      <c r="D86" s="381">
        <v>123</v>
      </c>
      <c r="E86" s="19" t="s">
        <v>700</v>
      </c>
      <c r="F86" s="134" t="s">
        <v>1040</v>
      </c>
      <c r="G86" s="61" t="s">
        <v>1041</v>
      </c>
      <c r="H86" s="387" t="s">
        <v>1042</v>
      </c>
    </row>
    <row r="87" spans="1:8">
      <c r="A87" s="380" t="s">
        <v>1043</v>
      </c>
      <c r="B87" s="12" t="s">
        <v>1044</v>
      </c>
      <c r="C87" s="19" t="s">
        <v>740</v>
      </c>
      <c r="D87" s="384">
        <v>124</v>
      </c>
      <c r="E87" s="19" t="s">
        <v>791</v>
      </c>
      <c r="F87" s="12" t="s">
        <v>1045</v>
      </c>
      <c r="G87" s="12" t="s">
        <v>1046</v>
      </c>
      <c r="H87" s="382" t="s">
        <v>1047</v>
      </c>
    </row>
    <row r="88" spans="1:8" ht="13.2" customHeight="1">
      <c r="A88" s="380" t="s">
        <v>1048</v>
      </c>
      <c r="B88" s="12" t="s">
        <v>765</v>
      </c>
      <c r="C88" s="19" t="s">
        <v>699</v>
      </c>
      <c r="D88" s="381">
        <v>125</v>
      </c>
      <c r="E88" s="19" t="s">
        <v>700</v>
      </c>
      <c r="F88" s="12" t="s">
        <v>1049</v>
      </c>
      <c r="G88" s="12" t="s">
        <v>1050</v>
      </c>
      <c r="H88" s="382" t="s">
        <v>1051</v>
      </c>
    </row>
    <row r="89" spans="1:8" ht="13.2" customHeight="1">
      <c r="A89" s="380" t="s">
        <v>1052</v>
      </c>
      <c r="B89" s="12" t="s">
        <v>1053</v>
      </c>
      <c r="C89" s="19" t="s">
        <v>699</v>
      </c>
      <c r="D89" s="381">
        <v>126</v>
      </c>
      <c r="E89" s="19" t="s">
        <v>700</v>
      </c>
      <c r="F89" s="12" t="s">
        <v>1054</v>
      </c>
      <c r="G89" s="12" t="s">
        <v>1055</v>
      </c>
      <c r="H89" s="382" t="s">
        <v>1056</v>
      </c>
    </row>
    <row r="90" spans="1:8" ht="13.2" customHeight="1">
      <c r="A90" s="380" t="s">
        <v>1057</v>
      </c>
      <c r="B90" s="12" t="s">
        <v>1053</v>
      </c>
      <c r="C90" s="19" t="s">
        <v>699</v>
      </c>
      <c r="D90" s="381">
        <v>127</v>
      </c>
      <c r="E90" s="19" t="s">
        <v>700</v>
      </c>
      <c r="F90" s="12" t="s">
        <v>1058</v>
      </c>
      <c r="G90" s="12" t="s">
        <v>1059</v>
      </c>
      <c r="H90" s="382" t="s">
        <v>1056</v>
      </c>
    </row>
    <row r="91" spans="1:8" ht="13.2" customHeight="1">
      <c r="A91" s="380" t="s">
        <v>1060</v>
      </c>
      <c r="B91" s="12" t="s">
        <v>1061</v>
      </c>
      <c r="C91" s="19" t="s">
        <v>804</v>
      </c>
      <c r="D91" s="383">
        <v>128</v>
      </c>
      <c r="E91" s="19" t="s">
        <v>21</v>
      </c>
      <c r="F91" s="12" t="s">
        <v>1062</v>
      </c>
      <c r="G91" s="12" t="s">
        <v>1063</v>
      </c>
      <c r="H91" s="382" t="s">
        <v>1064</v>
      </c>
    </row>
    <row r="92" spans="1:8" ht="13.2" customHeight="1">
      <c r="A92" s="380" t="s">
        <v>1065</v>
      </c>
      <c r="B92" s="12" t="s">
        <v>765</v>
      </c>
      <c r="C92" s="19" t="s">
        <v>699</v>
      </c>
      <c r="D92" s="383">
        <v>129</v>
      </c>
      <c r="E92" s="19" t="s">
        <v>20</v>
      </c>
      <c r="F92" s="12" t="s">
        <v>1066</v>
      </c>
      <c r="G92" s="12" t="s">
        <v>1067</v>
      </c>
      <c r="H92" s="382" t="s">
        <v>1068</v>
      </c>
    </row>
    <row r="93" spans="1:8" ht="13.2" customHeight="1">
      <c r="A93" s="380" t="s">
        <v>1069</v>
      </c>
      <c r="B93" s="12" t="s">
        <v>765</v>
      </c>
      <c r="C93" s="19" t="s">
        <v>699</v>
      </c>
      <c r="D93" s="381">
        <v>130</v>
      </c>
      <c r="E93" s="19" t="s">
        <v>700</v>
      </c>
      <c r="F93" s="12" t="s">
        <v>1070</v>
      </c>
      <c r="G93" s="12" t="s">
        <v>1071</v>
      </c>
      <c r="H93" s="382" t="s">
        <v>1068</v>
      </c>
    </row>
    <row r="94" spans="1:8" ht="13.2" customHeight="1">
      <c r="A94" s="386" t="s">
        <v>1072</v>
      </c>
      <c r="B94" s="61" t="s">
        <v>1073</v>
      </c>
      <c r="C94" s="54" t="s">
        <v>755</v>
      </c>
      <c r="D94" s="383">
        <v>131</v>
      </c>
      <c r="E94" s="54" t="s">
        <v>21</v>
      </c>
      <c r="F94" s="61" t="s">
        <v>1074</v>
      </c>
      <c r="G94" s="61" t="s">
        <v>1075</v>
      </c>
      <c r="H94" s="387" t="s">
        <v>1076</v>
      </c>
    </row>
    <row r="95" spans="1:8" ht="13.2" customHeight="1">
      <c r="A95" s="380" t="s">
        <v>1077</v>
      </c>
      <c r="B95" s="12" t="s">
        <v>1078</v>
      </c>
      <c r="C95" s="19" t="s">
        <v>1079</v>
      </c>
      <c r="D95" s="381">
        <v>132</v>
      </c>
      <c r="E95" s="19" t="s">
        <v>700</v>
      </c>
      <c r="F95" s="12" t="s">
        <v>1080</v>
      </c>
      <c r="G95" s="12" t="s">
        <v>1081</v>
      </c>
      <c r="H95" s="382" t="s">
        <v>1082</v>
      </c>
    </row>
    <row r="96" spans="1:8" ht="13.95" customHeight="1">
      <c r="A96" s="380" t="s">
        <v>1083</v>
      </c>
      <c r="B96" s="12" t="s">
        <v>25</v>
      </c>
      <c r="C96" s="19" t="s">
        <v>968</v>
      </c>
      <c r="D96" s="384">
        <v>133</v>
      </c>
      <c r="E96" s="19" t="s">
        <v>20</v>
      </c>
      <c r="F96" s="12" t="s">
        <v>1084</v>
      </c>
      <c r="G96" s="12" t="s">
        <v>1085</v>
      </c>
      <c r="H96" s="382" t="s">
        <v>1086</v>
      </c>
    </row>
    <row r="97" spans="1:8" ht="13.2" customHeight="1">
      <c r="A97" s="380" t="s">
        <v>1087</v>
      </c>
      <c r="B97" s="12" t="s">
        <v>1088</v>
      </c>
      <c r="C97" s="19" t="s">
        <v>1079</v>
      </c>
      <c r="D97" s="383">
        <v>136</v>
      </c>
      <c r="E97" s="19" t="s">
        <v>718</v>
      </c>
      <c r="F97" s="12" t="s">
        <v>1089</v>
      </c>
      <c r="G97" s="12" t="s">
        <v>1090</v>
      </c>
      <c r="H97" s="382" t="s">
        <v>1091</v>
      </c>
    </row>
    <row r="98" spans="1:8" ht="13.2" customHeight="1">
      <c r="A98" s="380" t="s">
        <v>1092</v>
      </c>
      <c r="B98" s="12" t="s">
        <v>1088</v>
      </c>
      <c r="C98" s="19" t="s">
        <v>1079</v>
      </c>
      <c r="D98" s="383">
        <v>137</v>
      </c>
      <c r="E98" s="19" t="s">
        <v>718</v>
      </c>
      <c r="F98" s="12" t="s">
        <v>1093</v>
      </c>
      <c r="G98" s="12" t="s">
        <v>1094</v>
      </c>
      <c r="H98" s="382" t="s">
        <v>1091</v>
      </c>
    </row>
    <row r="99" spans="1:8" ht="13.2" customHeight="1">
      <c r="A99" s="380" t="s">
        <v>1095</v>
      </c>
      <c r="B99" s="12" t="s">
        <v>1096</v>
      </c>
      <c r="C99" s="19" t="s">
        <v>804</v>
      </c>
      <c r="D99" s="383">
        <v>138</v>
      </c>
      <c r="E99" s="19" t="s">
        <v>21</v>
      </c>
      <c r="F99" s="12" t="s">
        <v>1097</v>
      </c>
      <c r="G99" s="12" t="s">
        <v>1098</v>
      </c>
      <c r="H99" s="382" t="s">
        <v>1099</v>
      </c>
    </row>
    <row r="100" spans="1:8" ht="13.2" customHeight="1">
      <c r="A100" s="380" t="s">
        <v>1100</v>
      </c>
      <c r="B100" s="12" t="s">
        <v>1101</v>
      </c>
      <c r="C100" s="19" t="s">
        <v>699</v>
      </c>
      <c r="D100" s="383">
        <v>140</v>
      </c>
      <c r="E100" s="19" t="s">
        <v>791</v>
      </c>
      <c r="F100" s="12" t="s">
        <v>1102</v>
      </c>
      <c r="G100" s="12" t="s">
        <v>1103</v>
      </c>
      <c r="H100" s="382" t="s">
        <v>1104</v>
      </c>
    </row>
    <row r="101" spans="1:8" ht="13.2" customHeight="1">
      <c r="A101" s="380" t="s">
        <v>1105</v>
      </c>
      <c r="B101" s="12" t="s">
        <v>1106</v>
      </c>
      <c r="C101" s="19" t="s">
        <v>699</v>
      </c>
      <c r="D101" s="381">
        <v>141</v>
      </c>
      <c r="E101" s="19" t="s">
        <v>700</v>
      </c>
      <c r="F101" s="12" t="s">
        <v>1107</v>
      </c>
      <c r="G101" s="12" t="s">
        <v>1108</v>
      </c>
      <c r="H101" s="382" t="s">
        <v>1109</v>
      </c>
    </row>
    <row r="102" spans="1:8">
      <c r="A102" s="380" t="s">
        <v>1110</v>
      </c>
      <c r="B102" s="12" t="s">
        <v>1111</v>
      </c>
      <c r="C102" s="19" t="s">
        <v>699</v>
      </c>
      <c r="D102" s="383">
        <v>142</v>
      </c>
      <c r="E102" s="19" t="s">
        <v>21</v>
      </c>
      <c r="F102" s="12" t="s">
        <v>1112</v>
      </c>
      <c r="G102" s="12" t="s">
        <v>1113</v>
      </c>
      <c r="H102" s="382" t="s">
        <v>1114</v>
      </c>
    </row>
    <row r="103" spans="1:8" ht="13.2" customHeight="1">
      <c r="A103" s="380" t="s">
        <v>1115</v>
      </c>
      <c r="B103" s="12" t="s">
        <v>1116</v>
      </c>
      <c r="C103" s="19" t="s">
        <v>699</v>
      </c>
      <c r="D103" s="383">
        <v>143</v>
      </c>
      <c r="E103" s="19" t="s">
        <v>21</v>
      </c>
      <c r="F103" s="12" t="s">
        <v>1117</v>
      </c>
      <c r="G103" s="12" t="s">
        <v>1118</v>
      </c>
      <c r="H103" s="382" t="s">
        <v>1114</v>
      </c>
    </row>
    <row r="104" spans="1:8" ht="13.2" customHeight="1">
      <c r="A104" s="380" t="s">
        <v>1119</v>
      </c>
      <c r="B104" s="12" t="s">
        <v>1116</v>
      </c>
      <c r="C104" s="19" t="s">
        <v>699</v>
      </c>
      <c r="D104" s="383">
        <v>144</v>
      </c>
      <c r="E104" s="19" t="s">
        <v>760</v>
      </c>
      <c r="F104" s="12" t="s">
        <v>1120</v>
      </c>
      <c r="G104" s="12" t="s">
        <v>1121</v>
      </c>
      <c r="H104" s="382" t="s">
        <v>1114</v>
      </c>
    </row>
    <row r="105" spans="1:8" ht="13.2" customHeight="1">
      <c r="A105" s="380" t="s">
        <v>1122</v>
      </c>
      <c r="B105" s="12" t="s">
        <v>1116</v>
      </c>
      <c r="C105" s="19" t="s">
        <v>699</v>
      </c>
      <c r="D105" s="383">
        <v>145</v>
      </c>
      <c r="E105" s="19" t="s">
        <v>1123</v>
      </c>
      <c r="F105" s="12" t="s">
        <v>1124</v>
      </c>
      <c r="G105" s="12" t="s">
        <v>1125</v>
      </c>
      <c r="H105" s="382" t="s">
        <v>1114</v>
      </c>
    </row>
    <row r="106" spans="1:8" ht="13.2" customHeight="1">
      <c r="A106" s="380" t="s">
        <v>1126</v>
      </c>
      <c r="B106" s="12" t="s">
        <v>1101</v>
      </c>
      <c r="C106" s="19" t="s">
        <v>699</v>
      </c>
      <c r="D106" s="383">
        <v>146</v>
      </c>
      <c r="E106" s="19" t="s">
        <v>791</v>
      </c>
      <c r="F106" s="12" t="s">
        <v>1127</v>
      </c>
      <c r="G106" s="12" t="s">
        <v>1128</v>
      </c>
      <c r="H106" s="382" t="s">
        <v>1129</v>
      </c>
    </row>
    <row r="107" spans="1:8" ht="13.2" customHeight="1">
      <c r="A107" s="380" t="s">
        <v>1130</v>
      </c>
      <c r="B107" s="12" t="s">
        <v>1131</v>
      </c>
      <c r="C107" s="19" t="s">
        <v>699</v>
      </c>
      <c r="D107" s="381">
        <v>147</v>
      </c>
      <c r="E107" s="19" t="s">
        <v>700</v>
      </c>
      <c r="F107" s="12" t="s">
        <v>1132</v>
      </c>
      <c r="G107" s="12" t="s">
        <v>1133</v>
      </c>
      <c r="H107" s="382" t="s">
        <v>1129</v>
      </c>
    </row>
    <row r="108" spans="1:8" ht="13.2" customHeight="1">
      <c r="A108" s="380" t="s">
        <v>1134</v>
      </c>
      <c r="B108" s="12" t="s">
        <v>1135</v>
      </c>
      <c r="C108" s="19" t="s">
        <v>699</v>
      </c>
      <c r="D108" s="381">
        <v>148</v>
      </c>
      <c r="E108" s="19" t="s">
        <v>700</v>
      </c>
      <c r="F108" s="12" t="s">
        <v>1136</v>
      </c>
      <c r="G108" s="12" t="s">
        <v>1137</v>
      </c>
      <c r="H108" s="382" t="s">
        <v>1138</v>
      </c>
    </row>
    <row r="109" spans="1:8" ht="13.2" customHeight="1">
      <c r="A109" s="380" t="s">
        <v>1139</v>
      </c>
      <c r="B109" s="12" t="s">
        <v>1106</v>
      </c>
      <c r="C109" s="19" t="s">
        <v>699</v>
      </c>
      <c r="D109" s="383">
        <v>149</v>
      </c>
      <c r="E109" s="19" t="s">
        <v>21</v>
      </c>
      <c r="F109" s="12" t="s">
        <v>1140</v>
      </c>
      <c r="G109" s="12" t="s">
        <v>1141</v>
      </c>
      <c r="H109" s="382" t="s">
        <v>1142</v>
      </c>
    </row>
    <row r="110" spans="1:8" ht="13.2" customHeight="1">
      <c r="A110" s="380" t="s">
        <v>1143</v>
      </c>
      <c r="B110" s="12" t="s">
        <v>1144</v>
      </c>
      <c r="C110" s="19" t="s">
        <v>740</v>
      </c>
      <c r="D110" s="384">
        <v>150</v>
      </c>
      <c r="E110" s="19" t="s">
        <v>1145</v>
      </c>
      <c r="F110" s="53" t="s">
        <v>1146</v>
      </c>
      <c r="G110" s="12" t="s">
        <v>1147</v>
      </c>
      <c r="H110" s="382" t="s">
        <v>1148</v>
      </c>
    </row>
    <row r="111" spans="1:8" ht="13.2" customHeight="1">
      <c r="A111" s="380" t="s">
        <v>1149</v>
      </c>
      <c r="B111" s="12" t="s">
        <v>1144</v>
      </c>
      <c r="C111" s="19" t="s">
        <v>740</v>
      </c>
      <c r="D111" s="384">
        <v>151</v>
      </c>
      <c r="E111" s="19" t="s">
        <v>791</v>
      </c>
      <c r="F111" s="53" t="s">
        <v>1150</v>
      </c>
      <c r="G111" s="12" t="s">
        <v>1151</v>
      </c>
      <c r="H111" s="382" t="s">
        <v>1152</v>
      </c>
    </row>
    <row r="112" spans="1:8" ht="13.2" customHeight="1">
      <c r="A112" s="380" t="s">
        <v>1153</v>
      </c>
      <c r="B112" s="12" t="s">
        <v>1135</v>
      </c>
      <c r="C112" s="19" t="s">
        <v>699</v>
      </c>
      <c r="D112" s="383">
        <v>152</v>
      </c>
      <c r="E112" s="19" t="s">
        <v>21</v>
      </c>
      <c r="F112" s="12" t="s">
        <v>1154</v>
      </c>
      <c r="G112" s="12" t="s">
        <v>1155</v>
      </c>
      <c r="H112" s="382" t="s">
        <v>1156</v>
      </c>
    </row>
    <row r="113" spans="1:8" ht="13.2" customHeight="1">
      <c r="A113" s="380" t="s">
        <v>1157</v>
      </c>
      <c r="B113" s="12" t="s">
        <v>1135</v>
      </c>
      <c r="C113" s="19" t="s">
        <v>699</v>
      </c>
      <c r="D113" s="383">
        <v>153</v>
      </c>
      <c r="E113" s="19" t="s">
        <v>21</v>
      </c>
      <c r="F113" s="12" t="s">
        <v>1158</v>
      </c>
      <c r="G113" s="12" t="s">
        <v>1159</v>
      </c>
      <c r="H113" s="382" t="s">
        <v>1160</v>
      </c>
    </row>
    <row r="114" spans="1:8" ht="13.2" customHeight="1">
      <c r="A114" s="380" t="s">
        <v>1161</v>
      </c>
      <c r="B114" s="12" t="s">
        <v>1135</v>
      </c>
      <c r="C114" s="19" t="s">
        <v>699</v>
      </c>
      <c r="D114" s="383">
        <v>154</v>
      </c>
      <c r="E114" s="19" t="s">
        <v>21</v>
      </c>
      <c r="F114" s="12" t="s">
        <v>1162</v>
      </c>
      <c r="G114" s="12" t="s">
        <v>1163</v>
      </c>
      <c r="H114" s="382" t="s">
        <v>1160</v>
      </c>
    </row>
    <row r="115" spans="1:8" ht="13.2" customHeight="1">
      <c r="A115" s="380" t="s">
        <v>1164</v>
      </c>
      <c r="B115" s="12" t="s">
        <v>1165</v>
      </c>
      <c r="C115" s="19" t="s">
        <v>804</v>
      </c>
      <c r="D115" s="385">
        <v>155</v>
      </c>
      <c r="E115" s="19" t="s">
        <v>791</v>
      </c>
      <c r="F115" s="12" t="s">
        <v>1166</v>
      </c>
      <c r="G115" s="12" t="s">
        <v>1167</v>
      </c>
      <c r="H115" s="382" t="s">
        <v>1168</v>
      </c>
    </row>
    <row r="116" spans="1:8" ht="13.2" customHeight="1">
      <c r="A116" s="380" t="s">
        <v>1169</v>
      </c>
      <c r="B116" s="12" t="s">
        <v>1165</v>
      </c>
      <c r="C116" s="19" t="s">
        <v>804</v>
      </c>
      <c r="D116" s="383">
        <v>156</v>
      </c>
      <c r="E116" s="19" t="s">
        <v>21</v>
      </c>
      <c r="F116" s="12" t="s">
        <v>1170</v>
      </c>
      <c r="G116" s="12" t="s">
        <v>1171</v>
      </c>
      <c r="H116" s="382" t="s">
        <v>1172</v>
      </c>
    </row>
    <row r="117" spans="1:8">
      <c r="A117" s="380" t="s">
        <v>1173</v>
      </c>
      <c r="B117" s="12" t="s">
        <v>1116</v>
      </c>
      <c r="C117" s="19" t="s">
        <v>699</v>
      </c>
      <c r="D117" s="383">
        <v>158</v>
      </c>
      <c r="E117" s="19" t="s">
        <v>760</v>
      </c>
      <c r="F117" s="12" t="s">
        <v>1174</v>
      </c>
      <c r="G117" s="12" t="s">
        <v>1175</v>
      </c>
      <c r="H117" s="382" t="s">
        <v>1176</v>
      </c>
    </row>
    <row r="118" spans="1:8" ht="13.2" customHeight="1">
      <c r="A118" s="380" t="s">
        <v>1177</v>
      </c>
      <c r="B118" s="12" t="s">
        <v>1116</v>
      </c>
      <c r="C118" s="19" t="s">
        <v>699</v>
      </c>
      <c r="D118" s="383">
        <v>159</v>
      </c>
      <c r="E118" s="19" t="s">
        <v>21</v>
      </c>
      <c r="F118" s="12" t="s">
        <v>1178</v>
      </c>
      <c r="G118" s="12" t="s">
        <v>1179</v>
      </c>
      <c r="H118" s="382" t="s">
        <v>1176</v>
      </c>
    </row>
    <row r="119" spans="1:8" ht="13.2" customHeight="1">
      <c r="A119" s="380" t="s">
        <v>1180</v>
      </c>
      <c r="B119" s="12" t="s">
        <v>1116</v>
      </c>
      <c r="C119" s="19" t="s">
        <v>699</v>
      </c>
      <c r="D119" s="383">
        <v>160</v>
      </c>
      <c r="E119" s="19" t="s">
        <v>21</v>
      </c>
      <c r="F119" s="12" t="s">
        <v>1181</v>
      </c>
      <c r="G119" s="12" t="s">
        <v>1182</v>
      </c>
      <c r="H119" s="382" t="s">
        <v>1176</v>
      </c>
    </row>
    <row r="120" spans="1:8" ht="13.2" customHeight="1">
      <c r="A120" s="380" t="s">
        <v>1183</v>
      </c>
      <c r="B120" s="12" t="s">
        <v>1116</v>
      </c>
      <c r="C120" s="19" t="s">
        <v>699</v>
      </c>
      <c r="D120" s="383">
        <v>161</v>
      </c>
      <c r="E120" s="19" t="s">
        <v>21</v>
      </c>
      <c r="F120" s="12" t="s">
        <v>1184</v>
      </c>
      <c r="G120" s="12" t="s">
        <v>1185</v>
      </c>
      <c r="H120" s="382" t="s">
        <v>1186</v>
      </c>
    </row>
    <row r="121" spans="1:8">
      <c r="A121" s="380" t="s">
        <v>1187</v>
      </c>
      <c r="B121" s="12" t="s">
        <v>1116</v>
      </c>
      <c r="C121" s="19" t="s">
        <v>699</v>
      </c>
      <c r="D121" s="383">
        <v>162</v>
      </c>
      <c r="E121" s="19" t="s">
        <v>21</v>
      </c>
      <c r="F121" s="12" t="s">
        <v>1188</v>
      </c>
      <c r="G121" s="12" t="s">
        <v>1189</v>
      </c>
      <c r="H121" s="382" t="s">
        <v>1176</v>
      </c>
    </row>
    <row r="122" spans="1:8" ht="13.2" customHeight="1">
      <c r="A122" s="380" t="s">
        <v>1190</v>
      </c>
      <c r="B122" s="12" t="s">
        <v>1191</v>
      </c>
      <c r="C122" s="19" t="s">
        <v>1079</v>
      </c>
      <c r="D122" s="383">
        <v>163</v>
      </c>
      <c r="E122" s="19" t="s">
        <v>718</v>
      </c>
      <c r="F122" s="12" t="s">
        <v>1192</v>
      </c>
      <c r="G122" s="12" t="s">
        <v>1193</v>
      </c>
      <c r="H122" s="382" t="s">
        <v>1194</v>
      </c>
    </row>
    <row r="123" spans="1:8">
      <c r="A123" s="380" t="s">
        <v>1195</v>
      </c>
      <c r="B123" s="12" t="s">
        <v>1191</v>
      </c>
      <c r="C123" s="19" t="s">
        <v>1079</v>
      </c>
      <c r="D123" s="383">
        <v>164</v>
      </c>
      <c r="E123" s="19" t="s">
        <v>718</v>
      </c>
      <c r="F123" s="12" t="s">
        <v>1196</v>
      </c>
      <c r="G123" s="12" t="s">
        <v>1197</v>
      </c>
      <c r="H123" s="382" t="s">
        <v>1194</v>
      </c>
    </row>
    <row r="124" spans="1:8" ht="13.2" customHeight="1">
      <c r="A124" s="380" t="s">
        <v>1198</v>
      </c>
      <c r="B124" s="12" t="s">
        <v>1135</v>
      </c>
      <c r="C124" s="19" t="s">
        <v>699</v>
      </c>
      <c r="D124" s="381">
        <v>165</v>
      </c>
      <c r="E124" s="19" t="s">
        <v>700</v>
      </c>
      <c r="F124" s="12" t="s">
        <v>1199</v>
      </c>
      <c r="G124" s="12" t="s">
        <v>1200</v>
      </c>
      <c r="H124" s="382" t="s">
        <v>1201</v>
      </c>
    </row>
    <row r="125" spans="1:8" ht="13.2" customHeight="1">
      <c r="A125" s="380" t="s">
        <v>1202</v>
      </c>
      <c r="B125" s="12" t="s">
        <v>1135</v>
      </c>
      <c r="C125" s="19" t="s">
        <v>699</v>
      </c>
      <c r="D125" s="381">
        <v>166</v>
      </c>
      <c r="E125" s="19" t="s">
        <v>700</v>
      </c>
      <c r="F125" s="12" t="s">
        <v>1203</v>
      </c>
      <c r="G125" s="12" t="s">
        <v>1204</v>
      </c>
      <c r="H125" s="382" t="s">
        <v>1201</v>
      </c>
    </row>
    <row r="126" spans="1:8" ht="13.2" customHeight="1">
      <c r="A126" s="380" t="s">
        <v>1205</v>
      </c>
      <c r="B126" s="12" t="s">
        <v>1135</v>
      </c>
      <c r="C126" s="19" t="s">
        <v>699</v>
      </c>
      <c r="D126" s="381">
        <v>167</v>
      </c>
      <c r="E126" s="19" t="s">
        <v>700</v>
      </c>
      <c r="F126" s="12" t="s">
        <v>1206</v>
      </c>
      <c r="G126" s="12" t="s">
        <v>1207</v>
      </c>
      <c r="H126" s="382" t="s">
        <v>1208</v>
      </c>
    </row>
    <row r="127" spans="1:8" ht="13.2" customHeight="1">
      <c r="A127" s="386" t="s">
        <v>1209</v>
      </c>
      <c r="B127" s="61" t="s">
        <v>1210</v>
      </c>
      <c r="C127" s="54" t="s">
        <v>755</v>
      </c>
      <c r="D127" s="383">
        <v>168</v>
      </c>
      <c r="E127" s="54" t="s">
        <v>21</v>
      </c>
      <c r="F127" s="61" t="s">
        <v>1211</v>
      </c>
      <c r="G127" s="61" t="s">
        <v>1212</v>
      </c>
      <c r="H127" s="387" t="s">
        <v>1213</v>
      </c>
    </row>
    <row r="128" spans="1:8" ht="13.2" customHeight="1">
      <c r="A128" s="380" t="s">
        <v>1214</v>
      </c>
      <c r="B128" s="12" t="s">
        <v>1215</v>
      </c>
      <c r="C128" s="19" t="s">
        <v>804</v>
      </c>
      <c r="D128" s="383">
        <v>169</v>
      </c>
      <c r="E128" s="19" t="s">
        <v>760</v>
      </c>
      <c r="F128" s="12" t="s">
        <v>1216</v>
      </c>
      <c r="G128" s="12" t="s">
        <v>1217</v>
      </c>
      <c r="H128" s="382" t="s">
        <v>1213</v>
      </c>
    </row>
    <row r="129" spans="1:8" ht="13.2" customHeight="1">
      <c r="A129" s="380" t="s">
        <v>1218</v>
      </c>
      <c r="B129" s="12" t="s">
        <v>1215</v>
      </c>
      <c r="C129" s="19" t="s">
        <v>804</v>
      </c>
      <c r="D129" s="383">
        <v>170</v>
      </c>
      <c r="E129" s="19" t="s">
        <v>760</v>
      </c>
      <c r="F129" s="12" t="s">
        <v>1219</v>
      </c>
      <c r="G129" s="12" t="s">
        <v>1220</v>
      </c>
      <c r="H129" s="382" t="s">
        <v>1213</v>
      </c>
    </row>
    <row r="130" spans="1:8" ht="13.2" customHeight="1">
      <c r="A130" s="380"/>
      <c r="B130" s="12" t="s">
        <v>58</v>
      </c>
      <c r="C130" s="19" t="s">
        <v>717</v>
      </c>
      <c r="D130" s="384">
        <v>171</v>
      </c>
      <c r="E130" s="19" t="s">
        <v>20</v>
      </c>
      <c r="F130" s="12"/>
      <c r="G130" s="12"/>
      <c r="H130" s="382"/>
    </row>
    <row r="131" spans="1:8" ht="13.2" customHeight="1">
      <c r="A131" s="380" t="s">
        <v>1221</v>
      </c>
      <c r="B131" s="12" t="s">
        <v>1222</v>
      </c>
      <c r="C131" s="19" t="s">
        <v>717</v>
      </c>
      <c r="D131" s="384">
        <v>172</v>
      </c>
      <c r="E131" s="19" t="s">
        <v>20</v>
      </c>
      <c r="F131" s="12"/>
      <c r="G131" s="12" t="s">
        <v>1223</v>
      </c>
      <c r="H131" s="382" t="s">
        <v>1224</v>
      </c>
    </row>
    <row r="132" spans="1:8">
      <c r="A132" s="386" t="s">
        <v>1225</v>
      </c>
      <c r="B132" s="61" t="s">
        <v>1226</v>
      </c>
      <c r="C132" s="54" t="s">
        <v>755</v>
      </c>
      <c r="D132" s="383">
        <v>202</v>
      </c>
      <c r="E132" s="54" t="s">
        <v>21</v>
      </c>
      <c r="F132" s="61" t="s">
        <v>1227</v>
      </c>
      <c r="G132" s="61" t="s">
        <v>1228</v>
      </c>
      <c r="H132" s="387" t="s">
        <v>1229</v>
      </c>
    </row>
    <row r="133" spans="1:8" ht="13.2" customHeight="1">
      <c r="A133" s="386" t="s">
        <v>1230</v>
      </c>
      <c r="B133" s="61" t="s">
        <v>1231</v>
      </c>
      <c r="C133" s="54" t="s">
        <v>755</v>
      </c>
      <c r="D133" s="381">
        <v>203</v>
      </c>
      <c r="E133" s="19" t="s">
        <v>700</v>
      </c>
      <c r="F133" s="61" t="s">
        <v>1232</v>
      </c>
      <c r="G133" s="61" t="s">
        <v>1233</v>
      </c>
      <c r="H133" s="387" t="s">
        <v>1234</v>
      </c>
    </row>
    <row r="134" spans="1:8" ht="13.2" customHeight="1">
      <c r="A134" s="380" t="s">
        <v>1235</v>
      </c>
      <c r="B134" s="12" t="s">
        <v>1236</v>
      </c>
      <c r="C134" s="19" t="s">
        <v>1079</v>
      </c>
      <c r="D134" s="381">
        <v>207</v>
      </c>
      <c r="E134" s="19" t="s">
        <v>700</v>
      </c>
      <c r="F134" s="12" t="s">
        <v>1237</v>
      </c>
      <c r="G134" s="12" t="s">
        <v>1238</v>
      </c>
      <c r="H134" s="382" t="s">
        <v>1239</v>
      </c>
    </row>
    <row r="135" spans="1:8" ht="13.2" customHeight="1">
      <c r="A135" s="380" t="s">
        <v>1240</v>
      </c>
      <c r="B135" s="12" t="s">
        <v>855</v>
      </c>
      <c r="C135" s="19" t="s">
        <v>699</v>
      </c>
      <c r="D135" s="381">
        <v>208</v>
      </c>
      <c r="E135" s="19" t="s">
        <v>700</v>
      </c>
      <c r="F135" s="12" t="s">
        <v>1241</v>
      </c>
      <c r="G135" s="12" t="s">
        <v>1242</v>
      </c>
      <c r="H135" s="382" t="s">
        <v>1243</v>
      </c>
    </row>
    <row r="136" spans="1:8" ht="13.2" customHeight="1">
      <c r="A136" s="380" t="s">
        <v>1244</v>
      </c>
      <c r="B136" s="12" t="s">
        <v>1245</v>
      </c>
      <c r="C136" s="19" t="s">
        <v>1079</v>
      </c>
      <c r="D136" s="381">
        <v>209</v>
      </c>
      <c r="E136" s="19" t="s">
        <v>700</v>
      </c>
      <c r="F136" s="12" t="s">
        <v>1246</v>
      </c>
      <c r="G136" s="12" t="s">
        <v>1247</v>
      </c>
      <c r="H136" s="382" t="s">
        <v>1248</v>
      </c>
    </row>
    <row r="137" spans="1:8" ht="13.2" customHeight="1">
      <c r="A137" s="380" t="s">
        <v>1249</v>
      </c>
      <c r="B137" s="12" t="s">
        <v>1250</v>
      </c>
      <c r="C137" s="19" t="s">
        <v>699</v>
      </c>
      <c r="D137" s="381">
        <v>210</v>
      </c>
      <c r="E137" s="19" t="s">
        <v>700</v>
      </c>
      <c r="F137" s="53" t="s">
        <v>1251</v>
      </c>
      <c r="G137" s="12" t="s">
        <v>1252</v>
      </c>
      <c r="H137" s="382" t="s">
        <v>1253</v>
      </c>
    </row>
    <row r="138" spans="1:8" ht="13.2" customHeight="1">
      <c r="A138" s="386" t="s">
        <v>1254</v>
      </c>
      <c r="B138" s="61" t="s">
        <v>1255</v>
      </c>
      <c r="C138" s="54" t="s">
        <v>968</v>
      </c>
      <c r="D138" s="381">
        <v>211</v>
      </c>
      <c r="E138" s="19" t="s">
        <v>700</v>
      </c>
      <c r="F138" s="61"/>
      <c r="G138" s="61"/>
      <c r="H138" s="387"/>
    </row>
    <row r="139" spans="1:8" ht="13.2" customHeight="1">
      <c r="A139" s="380" t="s">
        <v>1256</v>
      </c>
      <c r="B139" s="12" t="s">
        <v>1257</v>
      </c>
      <c r="C139" s="19" t="s">
        <v>1079</v>
      </c>
      <c r="D139" s="381">
        <v>215</v>
      </c>
      <c r="E139" s="19" t="s">
        <v>700</v>
      </c>
      <c r="F139" s="12" t="s">
        <v>1258</v>
      </c>
      <c r="G139" s="12" t="s">
        <v>1259</v>
      </c>
      <c r="H139" s="382" t="s">
        <v>1260</v>
      </c>
    </row>
    <row r="140" spans="1:8" ht="13.2" customHeight="1">
      <c r="A140" s="380" t="s">
        <v>1261</v>
      </c>
      <c r="B140" s="12" t="s">
        <v>765</v>
      </c>
      <c r="C140" s="19" t="s">
        <v>699</v>
      </c>
      <c r="D140" s="381">
        <v>217</v>
      </c>
      <c r="E140" s="19" t="s">
        <v>700</v>
      </c>
      <c r="F140" s="12" t="s">
        <v>1262</v>
      </c>
      <c r="G140" s="12" t="s">
        <v>1263</v>
      </c>
      <c r="H140" s="382" t="s">
        <v>1264</v>
      </c>
    </row>
    <row r="141" spans="1:8" ht="13.2" customHeight="1">
      <c r="A141" s="380" t="s">
        <v>1265</v>
      </c>
      <c r="B141" s="12" t="s">
        <v>1266</v>
      </c>
      <c r="C141" s="19" t="s">
        <v>755</v>
      </c>
      <c r="D141" s="381">
        <v>218</v>
      </c>
      <c r="E141" s="19" t="s">
        <v>700</v>
      </c>
      <c r="F141" s="53" t="s">
        <v>1267</v>
      </c>
      <c r="G141" s="12" t="s">
        <v>1268</v>
      </c>
      <c r="H141" s="382" t="s">
        <v>1269</v>
      </c>
    </row>
    <row r="142" spans="1:8" ht="13.2" customHeight="1">
      <c r="A142" s="380" t="s">
        <v>1270</v>
      </c>
      <c r="B142" s="12" t="s">
        <v>1135</v>
      </c>
      <c r="C142" s="19" t="s">
        <v>699</v>
      </c>
      <c r="D142" s="381">
        <v>220</v>
      </c>
      <c r="E142" s="19" t="s">
        <v>700</v>
      </c>
      <c r="F142" s="12" t="s">
        <v>1271</v>
      </c>
      <c r="G142" s="12" t="s">
        <v>1272</v>
      </c>
      <c r="H142" s="382" t="s">
        <v>1273</v>
      </c>
    </row>
    <row r="143" spans="1:8" ht="13.2" customHeight="1">
      <c r="A143" s="380" t="s">
        <v>1274</v>
      </c>
      <c r="B143" s="12" t="s">
        <v>933</v>
      </c>
      <c r="C143" s="19" t="s">
        <v>717</v>
      </c>
      <c r="D143" s="381">
        <v>251</v>
      </c>
      <c r="E143" s="19" t="s">
        <v>700</v>
      </c>
      <c r="F143" s="12"/>
      <c r="G143" s="12" t="s">
        <v>1275</v>
      </c>
      <c r="H143" s="382" t="s">
        <v>1276</v>
      </c>
    </row>
    <row r="144" spans="1:8" ht="13.2" customHeight="1">
      <c r="A144" s="380" t="s">
        <v>1277</v>
      </c>
      <c r="B144" s="12" t="s">
        <v>716</v>
      </c>
      <c r="C144" s="19" t="s">
        <v>717</v>
      </c>
      <c r="D144" s="381">
        <v>252</v>
      </c>
      <c r="E144" s="19" t="s">
        <v>700</v>
      </c>
      <c r="F144" s="12"/>
      <c r="G144" s="12" t="s">
        <v>1278</v>
      </c>
      <c r="H144" s="382" t="s">
        <v>1279</v>
      </c>
    </row>
    <row r="145" spans="1:8" ht="13.2" customHeight="1">
      <c r="A145" s="380" t="s">
        <v>1280</v>
      </c>
      <c r="B145" s="12" t="s">
        <v>1281</v>
      </c>
      <c r="C145" s="19" t="s">
        <v>699</v>
      </c>
      <c r="D145" s="383">
        <v>253</v>
      </c>
      <c r="E145" s="19" t="s">
        <v>21</v>
      </c>
      <c r="F145" s="12" t="s">
        <v>1282</v>
      </c>
      <c r="G145" s="12" t="s">
        <v>1283</v>
      </c>
      <c r="H145" s="382" t="s">
        <v>1284</v>
      </c>
    </row>
    <row r="146" spans="1:8" ht="13.2" customHeight="1">
      <c r="A146" s="380" t="s">
        <v>1285</v>
      </c>
      <c r="B146" s="12" t="s">
        <v>1281</v>
      </c>
      <c r="C146" s="19" t="s">
        <v>699</v>
      </c>
      <c r="D146" s="383">
        <v>254</v>
      </c>
      <c r="E146" s="19" t="s">
        <v>21</v>
      </c>
      <c r="F146" s="12" t="s">
        <v>1286</v>
      </c>
      <c r="G146" s="12" t="s">
        <v>1287</v>
      </c>
      <c r="H146" s="382" t="s">
        <v>1284</v>
      </c>
    </row>
    <row r="147" spans="1:8" ht="13.95" customHeight="1">
      <c r="A147" s="380" t="s">
        <v>1288</v>
      </c>
      <c r="B147" s="12" t="s">
        <v>1289</v>
      </c>
      <c r="C147" s="19" t="s">
        <v>699</v>
      </c>
      <c r="D147" s="383">
        <v>255</v>
      </c>
      <c r="E147" s="19" t="s">
        <v>711</v>
      </c>
      <c r="F147" s="12" t="s">
        <v>1290</v>
      </c>
      <c r="G147" s="12" t="s">
        <v>1291</v>
      </c>
      <c r="H147" s="382" t="s">
        <v>1284</v>
      </c>
    </row>
    <row r="148" spans="1:8" ht="13.2" customHeight="1">
      <c r="A148" s="380" t="s">
        <v>1292</v>
      </c>
      <c r="B148" s="12" t="s">
        <v>1281</v>
      </c>
      <c r="C148" s="19" t="s">
        <v>699</v>
      </c>
      <c r="D148" s="383">
        <v>256</v>
      </c>
      <c r="E148" s="19" t="s">
        <v>760</v>
      </c>
      <c r="F148" s="12" t="s">
        <v>1293</v>
      </c>
      <c r="G148" s="12" t="s">
        <v>1294</v>
      </c>
      <c r="H148" s="382" t="s">
        <v>1284</v>
      </c>
    </row>
    <row r="149" spans="1:8" ht="13.2" customHeight="1">
      <c r="A149" s="380" t="s">
        <v>1295</v>
      </c>
      <c r="B149" s="12" t="s">
        <v>1281</v>
      </c>
      <c r="C149" s="19" t="s">
        <v>699</v>
      </c>
      <c r="D149" s="383">
        <v>257</v>
      </c>
      <c r="E149" s="19" t="s">
        <v>21</v>
      </c>
      <c r="F149" s="12" t="s">
        <v>1296</v>
      </c>
      <c r="G149" s="12" t="s">
        <v>1297</v>
      </c>
      <c r="H149" s="382" t="s">
        <v>1284</v>
      </c>
    </row>
    <row r="150" spans="1:8">
      <c r="A150" s="380" t="s">
        <v>1298</v>
      </c>
      <c r="B150" s="12" t="s">
        <v>1299</v>
      </c>
      <c r="C150" s="19" t="s">
        <v>1079</v>
      </c>
      <c r="D150" s="383">
        <v>258</v>
      </c>
      <c r="E150" s="19" t="s">
        <v>718</v>
      </c>
      <c r="F150" s="12" t="s">
        <v>1300</v>
      </c>
      <c r="G150" s="12" t="s">
        <v>1301</v>
      </c>
      <c r="H150" s="382" t="s">
        <v>1284</v>
      </c>
    </row>
    <row r="151" spans="1:8">
      <c r="A151" s="380" t="s">
        <v>1302</v>
      </c>
      <c r="B151" s="12" t="s">
        <v>1299</v>
      </c>
      <c r="C151" s="19" t="s">
        <v>1079</v>
      </c>
      <c r="D151" s="385">
        <v>259</v>
      </c>
      <c r="E151" s="19" t="s">
        <v>718</v>
      </c>
      <c r="F151" s="12" t="s">
        <v>1303</v>
      </c>
      <c r="G151" s="12" t="s">
        <v>1304</v>
      </c>
      <c r="H151" s="382" t="s">
        <v>1284</v>
      </c>
    </row>
    <row r="152" spans="1:8" ht="13.2" customHeight="1">
      <c r="A152" s="380" t="s">
        <v>1305</v>
      </c>
      <c r="B152" s="12" t="s">
        <v>1306</v>
      </c>
      <c r="C152" s="19" t="s">
        <v>699</v>
      </c>
      <c r="D152" s="383">
        <v>260</v>
      </c>
      <c r="E152" s="19" t="s">
        <v>20</v>
      </c>
      <c r="F152" s="12" t="s">
        <v>1307</v>
      </c>
      <c r="G152" s="12" t="s">
        <v>1308</v>
      </c>
      <c r="H152" s="382" t="s">
        <v>1309</v>
      </c>
    </row>
    <row r="153" spans="1:8" ht="13.2" customHeight="1">
      <c r="A153" s="380" t="s">
        <v>1310</v>
      </c>
      <c r="B153" s="12" t="s">
        <v>1306</v>
      </c>
      <c r="C153" s="19" t="s">
        <v>699</v>
      </c>
      <c r="D153" s="383">
        <v>261</v>
      </c>
      <c r="E153" s="19" t="s">
        <v>20</v>
      </c>
      <c r="F153" s="12" t="s">
        <v>1311</v>
      </c>
      <c r="G153" s="12" t="s">
        <v>1312</v>
      </c>
      <c r="H153" s="382" t="s">
        <v>1309</v>
      </c>
    </row>
    <row r="154" spans="1:8" ht="13.2" customHeight="1">
      <c r="A154" s="380" t="s">
        <v>1313</v>
      </c>
      <c r="B154" s="12" t="s">
        <v>1306</v>
      </c>
      <c r="C154" s="19" t="s">
        <v>699</v>
      </c>
      <c r="D154" s="383">
        <v>262</v>
      </c>
      <c r="E154" s="19" t="s">
        <v>20</v>
      </c>
      <c r="F154" s="12" t="s">
        <v>1314</v>
      </c>
      <c r="G154" s="12" t="s">
        <v>1315</v>
      </c>
      <c r="H154" s="382" t="s">
        <v>1309</v>
      </c>
    </row>
    <row r="155" spans="1:8" ht="13.2" customHeight="1">
      <c r="A155" s="380" t="s">
        <v>1316</v>
      </c>
      <c r="B155" s="12" t="s">
        <v>1306</v>
      </c>
      <c r="C155" s="19" t="s">
        <v>699</v>
      </c>
      <c r="D155" s="383">
        <v>263</v>
      </c>
      <c r="E155" s="19" t="s">
        <v>20</v>
      </c>
      <c r="F155" s="12" t="s">
        <v>1317</v>
      </c>
      <c r="G155" s="12" t="s">
        <v>1318</v>
      </c>
      <c r="H155" s="382" t="s">
        <v>1309</v>
      </c>
    </row>
    <row r="156" spans="1:8" ht="13.2" customHeight="1">
      <c r="A156" s="380" t="s">
        <v>1319</v>
      </c>
      <c r="B156" s="12" t="s">
        <v>86</v>
      </c>
      <c r="C156" s="54" t="s">
        <v>968</v>
      </c>
      <c r="D156" s="384">
        <v>264</v>
      </c>
      <c r="E156" s="19" t="s">
        <v>21</v>
      </c>
      <c r="F156" s="12"/>
      <c r="G156" s="12"/>
      <c r="H156" s="382"/>
    </row>
    <row r="157" spans="1:8" ht="13.2" customHeight="1">
      <c r="A157" s="380" t="s">
        <v>1320</v>
      </c>
      <c r="B157" s="12" t="s">
        <v>86</v>
      </c>
      <c r="C157" s="54" t="s">
        <v>968</v>
      </c>
      <c r="D157" s="384">
        <v>265</v>
      </c>
      <c r="E157" s="19" t="s">
        <v>21</v>
      </c>
      <c r="F157" s="12"/>
      <c r="G157" s="12"/>
      <c r="H157" s="382"/>
    </row>
    <row r="158" spans="1:8" ht="13.2" customHeight="1">
      <c r="A158" s="380" t="s">
        <v>1321</v>
      </c>
      <c r="B158" s="12" t="s">
        <v>86</v>
      </c>
      <c r="C158" s="54" t="s">
        <v>968</v>
      </c>
      <c r="D158" s="384">
        <v>266</v>
      </c>
      <c r="E158" s="19" t="s">
        <v>21</v>
      </c>
      <c r="F158" s="12"/>
      <c r="G158" s="12"/>
      <c r="H158" s="382"/>
    </row>
    <row r="159" spans="1:8" ht="13.2" customHeight="1">
      <c r="A159" s="380" t="s">
        <v>1322</v>
      </c>
      <c r="B159" s="12" t="s">
        <v>86</v>
      </c>
      <c r="C159" s="54" t="s">
        <v>968</v>
      </c>
      <c r="D159" s="384">
        <v>267</v>
      </c>
      <c r="E159" s="19" t="s">
        <v>21</v>
      </c>
      <c r="F159" s="12"/>
      <c r="G159" s="12"/>
      <c r="H159" s="382"/>
    </row>
    <row r="160" spans="1:8" ht="13.2" customHeight="1">
      <c r="A160" s="380" t="s">
        <v>1323</v>
      </c>
      <c r="B160" s="12" t="s">
        <v>1324</v>
      </c>
      <c r="C160" s="19" t="s">
        <v>755</v>
      </c>
      <c r="D160" s="389">
        <v>310</v>
      </c>
      <c r="E160" s="19" t="s">
        <v>1325</v>
      </c>
      <c r="F160" s="12" t="s">
        <v>1326</v>
      </c>
      <c r="G160" s="12" t="s">
        <v>1327</v>
      </c>
      <c r="H160" s="382" t="s">
        <v>1328</v>
      </c>
    </row>
    <row r="161" spans="1:8" ht="13.2" customHeight="1">
      <c r="A161" s="380" t="s">
        <v>1329</v>
      </c>
      <c r="B161" s="12" t="s">
        <v>1330</v>
      </c>
      <c r="C161" s="19" t="s">
        <v>699</v>
      </c>
      <c r="D161" s="389">
        <v>311</v>
      </c>
      <c r="E161" s="19" t="s">
        <v>1325</v>
      </c>
      <c r="F161" s="12" t="s">
        <v>1331</v>
      </c>
      <c r="G161" s="12" t="s">
        <v>1332</v>
      </c>
      <c r="H161" s="382" t="s">
        <v>1333</v>
      </c>
    </row>
    <row r="162" spans="1:8" ht="13.2" customHeight="1">
      <c r="A162" s="380" t="s">
        <v>1334</v>
      </c>
      <c r="B162" s="12" t="s">
        <v>1335</v>
      </c>
      <c r="C162" s="19" t="s">
        <v>699</v>
      </c>
      <c r="D162" s="381">
        <v>313</v>
      </c>
      <c r="E162" s="19" t="s">
        <v>700</v>
      </c>
      <c r="F162" s="12" t="s">
        <v>1336</v>
      </c>
      <c r="G162" s="12" t="s">
        <v>1337</v>
      </c>
      <c r="H162" s="382" t="s">
        <v>867</v>
      </c>
    </row>
    <row r="163" spans="1:8" ht="13.2" customHeight="1">
      <c r="A163" s="380" t="s">
        <v>1338</v>
      </c>
      <c r="B163" s="12" t="s">
        <v>1116</v>
      </c>
      <c r="C163" s="19" t="s">
        <v>699</v>
      </c>
      <c r="D163" s="389">
        <v>314</v>
      </c>
      <c r="E163" s="19" t="s">
        <v>1325</v>
      </c>
      <c r="F163" s="53" t="s">
        <v>1339</v>
      </c>
      <c r="G163" s="12" t="s">
        <v>1340</v>
      </c>
      <c r="H163" s="382" t="s">
        <v>1341</v>
      </c>
    </row>
    <row r="164" spans="1:8" ht="13.95" customHeight="1">
      <c r="A164" s="380" t="s">
        <v>1342</v>
      </c>
      <c r="B164" s="12" t="s">
        <v>1116</v>
      </c>
      <c r="C164" s="19" t="s">
        <v>699</v>
      </c>
      <c r="D164" s="389">
        <v>315</v>
      </c>
      <c r="E164" s="19" t="s">
        <v>1325</v>
      </c>
      <c r="F164" s="53" t="s">
        <v>1343</v>
      </c>
      <c r="G164" s="12" t="s">
        <v>1344</v>
      </c>
      <c r="H164" s="382" t="s">
        <v>1345</v>
      </c>
    </row>
    <row r="165" spans="1:8" ht="13.2" customHeight="1">
      <c r="A165" s="380" t="s">
        <v>1346</v>
      </c>
      <c r="B165" s="12" t="s">
        <v>929</v>
      </c>
      <c r="C165" s="19" t="s">
        <v>717</v>
      </c>
      <c r="D165" s="381">
        <v>316</v>
      </c>
      <c r="E165" s="19" t="s">
        <v>700</v>
      </c>
      <c r="F165" s="53" t="s">
        <v>1347</v>
      </c>
      <c r="G165" s="12" t="s">
        <v>1348</v>
      </c>
      <c r="H165" s="382" t="s">
        <v>1349</v>
      </c>
    </row>
    <row r="166" spans="1:8" ht="13.2" customHeight="1">
      <c r="A166" s="380" t="s">
        <v>1350</v>
      </c>
      <c r="B166" s="12" t="s">
        <v>1351</v>
      </c>
      <c r="C166" s="19" t="s">
        <v>717</v>
      </c>
      <c r="D166" s="389">
        <v>317</v>
      </c>
      <c r="E166" s="19" t="s">
        <v>1325</v>
      </c>
      <c r="F166" s="12"/>
      <c r="G166" s="12" t="s">
        <v>1352</v>
      </c>
      <c r="H166" s="382" t="s">
        <v>1353</v>
      </c>
    </row>
    <row r="167" spans="1:8" ht="13.2" customHeight="1">
      <c r="A167" s="380" t="s">
        <v>1354</v>
      </c>
      <c r="B167" s="12" t="s">
        <v>1355</v>
      </c>
      <c r="C167" s="19" t="s">
        <v>755</v>
      </c>
      <c r="D167" s="389">
        <v>318</v>
      </c>
      <c r="E167" s="19" t="s">
        <v>1325</v>
      </c>
      <c r="F167" s="53" t="s">
        <v>1356</v>
      </c>
      <c r="G167" s="12" t="s">
        <v>1357</v>
      </c>
      <c r="H167" s="382" t="s">
        <v>1358</v>
      </c>
    </row>
    <row r="168" spans="1:8" ht="13.2" customHeight="1">
      <c r="A168" s="380" t="s">
        <v>1359</v>
      </c>
      <c r="B168" s="12" t="s">
        <v>1360</v>
      </c>
      <c r="C168" s="19" t="s">
        <v>699</v>
      </c>
      <c r="D168" s="381">
        <v>319</v>
      </c>
      <c r="E168" s="19" t="s">
        <v>700</v>
      </c>
      <c r="F168" s="12">
        <v>62779</v>
      </c>
      <c r="G168" s="12">
        <v>733964</v>
      </c>
      <c r="H168" s="382" t="s">
        <v>1361</v>
      </c>
    </row>
    <row r="169" spans="1:8" ht="13.2" customHeight="1">
      <c r="A169" s="380" t="s">
        <v>1362</v>
      </c>
      <c r="B169" s="12" t="s">
        <v>1257</v>
      </c>
      <c r="C169" s="19" t="s">
        <v>1079</v>
      </c>
      <c r="D169" s="389">
        <v>320</v>
      </c>
      <c r="E169" s="19" t="s">
        <v>1325</v>
      </c>
      <c r="F169" s="12" t="s">
        <v>1363</v>
      </c>
      <c r="G169" s="12" t="s">
        <v>1364</v>
      </c>
      <c r="H169" s="382" t="s">
        <v>1365</v>
      </c>
    </row>
    <row r="170" spans="1:8" ht="13.2" customHeight="1">
      <c r="A170" s="380" t="s">
        <v>1366</v>
      </c>
      <c r="B170" s="12" t="s">
        <v>16</v>
      </c>
      <c r="C170" s="19" t="s">
        <v>717</v>
      </c>
      <c r="D170" s="389">
        <v>321</v>
      </c>
      <c r="E170" s="19" t="s">
        <v>1325</v>
      </c>
      <c r="F170" s="12"/>
      <c r="G170" s="53" t="s">
        <v>1367</v>
      </c>
      <c r="H170" s="382" t="s">
        <v>1368</v>
      </c>
    </row>
    <row r="171" spans="1:8" ht="13.2" customHeight="1">
      <c r="A171" s="380" t="s">
        <v>1369</v>
      </c>
      <c r="B171" s="12" t="s">
        <v>16</v>
      </c>
      <c r="C171" s="19" t="s">
        <v>717</v>
      </c>
      <c r="D171" s="389">
        <v>322</v>
      </c>
      <c r="E171" s="19" t="s">
        <v>1325</v>
      </c>
      <c r="F171" s="12"/>
      <c r="G171" s="53" t="s">
        <v>1370</v>
      </c>
      <c r="H171" s="382" t="s">
        <v>1371</v>
      </c>
    </row>
    <row r="172" spans="1:8" ht="13.2" customHeight="1">
      <c r="A172" s="380" t="s">
        <v>1372</v>
      </c>
      <c r="B172" s="12" t="s">
        <v>1330</v>
      </c>
      <c r="C172" s="19" t="s">
        <v>699</v>
      </c>
      <c r="D172" s="389">
        <v>323</v>
      </c>
      <c r="E172" s="19" t="s">
        <v>1325</v>
      </c>
      <c r="F172" s="12" t="s">
        <v>1373</v>
      </c>
      <c r="G172" s="12" t="s">
        <v>1374</v>
      </c>
      <c r="H172" s="382" t="s">
        <v>1375</v>
      </c>
    </row>
    <row r="173" spans="1:8" ht="13.2" customHeight="1">
      <c r="A173" s="380" t="s">
        <v>1376</v>
      </c>
      <c r="B173" s="12" t="s">
        <v>1377</v>
      </c>
      <c r="C173" s="19" t="s">
        <v>717</v>
      </c>
      <c r="D173" s="389">
        <v>324</v>
      </c>
      <c r="E173" s="19" t="s">
        <v>1325</v>
      </c>
      <c r="F173" s="12"/>
      <c r="G173" s="12" t="s">
        <v>1378</v>
      </c>
      <c r="H173" s="382" t="s">
        <v>1379</v>
      </c>
    </row>
    <row r="174" spans="1:8" ht="13.2" customHeight="1">
      <c r="A174" s="380" t="s">
        <v>1380</v>
      </c>
      <c r="B174" s="12" t="s">
        <v>1381</v>
      </c>
      <c r="C174" s="19" t="s">
        <v>699</v>
      </c>
      <c r="D174" s="381">
        <v>325</v>
      </c>
      <c r="E174" s="19" t="s">
        <v>700</v>
      </c>
      <c r="F174" s="12" t="s">
        <v>1382</v>
      </c>
      <c r="G174" s="12" t="s">
        <v>1383</v>
      </c>
      <c r="H174" s="382" t="s">
        <v>1253</v>
      </c>
    </row>
    <row r="175" spans="1:8" ht="13.2" customHeight="1">
      <c r="A175" s="380" t="s">
        <v>1384</v>
      </c>
      <c r="B175" s="12" t="s">
        <v>1385</v>
      </c>
      <c r="C175" s="54" t="s">
        <v>755</v>
      </c>
      <c r="D175" s="384">
        <v>328</v>
      </c>
      <c r="E175" s="19" t="s">
        <v>1145</v>
      </c>
      <c r="F175" s="12"/>
      <c r="G175" s="12"/>
      <c r="H175" s="382"/>
    </row>
    <row r="176" spans="1:8" ht="13.2" customHeight="1">
      <c r="A176" s="380" t="s">
        <v>599</v>
      </c>
      <c r="B176" s="12" t="s">
        <v>1386</v>
      </c>
      <c r="C176" s="19" t="s">
        <v>256</v>
      </c>
      <c r="D176" s="384">
        <v>329</v>
      </c>
      <c r="E176" s="19" t="s">
        <v>1387</v>
      </c>
      <c r="F176" s="53" t="s">
        <v>1388</v>
      </c>
      <c r="G176" s="12" t="s">
        <v>1389</v>
      </c>
      <c r="H176" s="382" t="s">
        <v>1390</v>
      </c>
    </row>
    <row r="177" spans="1:8" ht="13.2" customHeight="1">
      <c r="A177" s="380" t="s">
        <v>1391</v>
      </c>
      <c r="B177" s="12" t="s">
        <v>1392</v>
      </c>
      <c r="C177" s="19" t="s">
        <v>699</v>
      </c>
      <c r="D177" s="381">
        <v>400</v>
      </c>
      <c r="E177" s="19" t="s">
        <v>700</v>
      </c>
      <c r="F177" s="12" t="s">
        <v>1393</v>
      </c>
      <c r="G177" s="12" t="s">
        <v>1394</v>
      </c>
      <c r="H177" s="382" t="s">
        <v>1395</v>
      </c>
    </row>
    <row r="178" spans="1:8" ht="13.2" customHeight="1">
      <c r="A178" s="380" t="s">
        <v>1396</v>
      </c>
      <c r="B178" s="12" t="s">
        <v>1397</v>
      </c>
      <c r="C178" s="19" t="s">
        <v>740</v>
      </c>
      <c r="D178" s="381">
        <v>401</v>
      </c>
      <c r="E178" s="19" t="s">
        <v>700</v>
      </c>
      <c r="F178" s="53" t="s">
        <v>1398</v>
      </c>
      <c r="G178" s="53" t="s">
        <v>1399</v>
      </c>
      <c r="H178" s="382" t="s">
        <v>1400</v>
      </c>
    </row>
    <row r="179" spans="1:8" ht="13.95" customHeight="1">
      <c r="A179" s="380" t="s">
        <v>1401</v>
      </c>
      <c r="B179" s="12" t="s">
        <v>1397</v>
      </c>
      <c r="C179" s="19" t="s">
        <v>740</v>
      </c>
      <c r="D179" s="381">
        <v>402</v>
      </c>
      <c r="E179" s="19" t="s">
        <v>700</v>
      </c>
      <c r="F179" s="12" t="s">
        <v>1402</v>
      </c>
      <c r="G179" s="12" t="s">
        <v>1403</v>
      </c>
      <c r="H179" s="382" t="s">
        <v>1365</v>
      </c>
    </row>
    <row r="180" spans="1:8" ht="13.2" customHeight="1">
      <c r="A180" s="380" t="s">
        <v>1404</v>
      </c>
      <c r="B180" s="12" t="s">
        <v>1053</v>
      </c>
      <c r="C180" s="19" t="s">
        <v>699</v>
      </c>
      <c r="D180" s="381">
        <v>403</v>
      </c>
      <c r="E180" s="19" t="s">
        <v>700</v>
      </c>
      <c r="F180" s="12" t="s">
        <v>1405</v>
      </c>
      <c r="G180" s="12" t="s">
        <v>1406</v>
      </c>
      <c r="H180" s="382" t="s">
        <v>1407</v>
      </c>
    </row>
    <row r="181" spans="1:8" ht="13.2" customHeight="1">
      <c r="A181" s="380" t="s">
        <v>1408</v>
      </c>
      <c r="B181" s="12" t="s">
        <v>860</v>
      </c>
      <c r="C181" s="19" t="s">
        <v>699</v>
      </c>
      <c r="D181" s="381">
        <v>404</v>
      </c>
      <c r="E181" s="19" t="s">
        <v>700</v>
      </c>
      <c r="F181" s="12" t="s">
        <v>1409</v>
      </c>
      <c r="G181" s="12" t="s">
        <v>1410</v>
      </c>
      <c r="H181" s="382" t="s">
        <v>1411</v>
      </c>
    </row>
    <row r="182" spans="1:8" ht="13.2" customHeight="1">
      <c r="A182" s="380" t="s">
        <v>1412</v>
      </c>
      <c r="B182" s="12" t="s">
        <v>716</v>
      </c>
      <c r="C182" s="19" t="s">
        <v>717</v>
      </c>
      <c r="D182" s="384">
        <v>405</v>
      </c>
      <c r="E182" s="19" t="s">
        <v>791</v>
      </c>
      <c r="F182" s="12"/>
      <c r="G182" s="12" t="s">
        <v>1413</v>
      </c>
      <c r="H182" s="382" t="s">
        <v>1414</v>
      </c>
    </row>
    <row r="183" spans="1:8" ht="13.2" customHeight="1">
      <c r="A183" s="380" t="s">
        <v>1415</v>
      </c>
      <c r="B183" s="12" t="s">
        <v>1416</v>
      </c>
      <c r="C183" s="19" t="s">
        <v>699</v>
      </c>
      <c r="D183" s="381">
        <v>406</v>
      </c>
      <c r="E183" s="19" t="s">
        <v>700</v>
      </c>
      <c r="F183" s="12" t="s">
        <v>1417</v>
      </c>
      <c r="G183" s="12" t="s">
        <v>1418</v>
      </c>
      <c r="H183" s="382" t="s">
        <v>1419</v>
      </c>
    </row>
    <row r="184" spans="1:8" ht="13.95" customHeight="1">
      <c r="A184" s="380" t="s">
        <v>1420</v>
      </c>
      <c r="B184" s="12" t="s">
        <v>1421</v>
      </c>
      <c r="C184" s="19" t="s">
        <v>1079</v>
      </c>
      <c r="D184" s="381">
        <v>407</v>
      </c>
      <c r="E184" s="19" t="s">
        <v>700</v>
      </c>
      <c r="F184" s="12" t="s">
        <v>1422</v>
      </c>
      <c r="G184" s="12" t="s">
        <v>1423</v>
      </c>
      <c r="H184" s="382" t="s">
        <v>1253</v>
      </c>
    </row>
    <row r="185" spans="1:8" ht="13.2" customHeight="1">
      <c r="A185" s="380" t="s">
        <v>1424</v>
      </c>
      <c r="B185" s="12" t="s">
        <v>1144</v>
      </c>
      <c r="C185" s="19" t="s">
        <v>740</v>
      </c>
      <c r="D185" s="384">
        <v>408</v>
      </c>
      <c r="E185" s="19" t="s">
        <v>791</v>
      </c>
      <c r="F185" s="53" t="s">
        <v>1425</v>
      </c>
      <c r="G185" s="12" t="s">
        <v>1426</v>
      </c>
      <c r="H185" s="382" t="s">
        <v>1427</v>
      </c>
    </row>
    <row r="186" spans="1:8" ht="13.2" customHeight="1">
      <c r="A186" s="380" t="s">
        <v>1428</v>
      </c>
      <c r="B186" s="12" t="s">
        <v>1429</v>
      </c>
      <c r="C186" s="19" t="s">
        <v>699</v>
      </c>
      <c r="D186" s="381">
        <v>409</v>
      </c>
      <c r="E186" s="19" t="s">
        <v>700</v>
      </c>
      <c r="F186" s="12" t="s">
        <v>1430</v>
      </c>
      <c r="G186" s="12" t="s">
        <v>1431</v>
      </c>
      <c r="H186" s="382" t="s">
        <v>1260</v>
      </c>
    </row>
    <row r="187" spans="1:8" ht="13.95" customHeight="1">
      <c r="A187" s="386" t="s">
        <v>1432</v>
      </c>
      <c r="B187" s="61" t="s">
        <v>1433</v>
      </c>
      <c r="C187" s="54" t="s">
        <v>968</v>
      </c>
      <c r="D187" s="381">
        <v>410</v>
      </c>
      <c r="E187" s="19" t="s">
        <v>700</v>
      </c>
      <c r="F187" s="61"/>
      <c r="G187" s="61" t="s">
        <v>1434</v>
      </c>
      <c r="H187" s="387" t="s">
        <v>1435</v>
      </c>
    </row>
    <row r="188" spans="1:8">
      <c r="A188" s="380" t="s">
        <v>133</v>
      </c>
      <c r="B188" s="12" t="s">
        <v>1436</v>
      </c>
      <c r="C188" s="390" t="s">
        <v>755</v>
      </c>
      <c r="D188" s="384">
        <v>411</v>
      </c>
      <c r="E188" s="388" t="s">
        <v>304</v>
      </c>
      <c r="F188" s="12" t="s">
        <v>1437</v>
      </c>
      <c r="G188" s="12" t="s">
        <v>1438</v>
      </c>
      <c r="H188" s="382" t="s">
        <v>1439</v>
      </c>
    </row>
    <row r="189" spans="1:8">
      <c r="A189" s="380" t="s">
        <v>134</v>
      </c>
      <c r="B189" s="12" t="s">
        <v>1436</v>
      </c>
      <c r="C189" s="390" t="s">
        <v>755</v>
      </c>
      <c r="D189" s="384">
        <v>412</v>
      </c>
      <c r="E189" s="388" t="s">
        <v>304</v>
      </c>
      <c r="F189" s="12" t="s">
        <v>1440</v>
      </c>
      <c r="G189" s="12" t="s">
        <v>1441</v>
      </c>
      <c r="H189" s="382" t="s">
        <v>1442</v>
      </c>
    </row>
    <row r="190" spans="1:8">
      <c r="A190" s="380" t="s">
        <v>135</v>
      </c>
      <c r="B190" s="12" t="s">
        <v>1436</v>
      </c>
      <c r="C190" s="390" t="s">
        <v>755</v>
      </c>
      <c r="D190" s="384">
        <v>413</v>
      </c>
      <c r="E190" s="388" t="s">
        <v>304</v>
      </c>
      <c r="F190" s="12" t="s">
        <v>1443</v>
      </c>
      <c r="G190" s="12" t="s">
        <v>1444</v>
      </c>
      <c r="H190" s="382" t="s">
        <v>1442</v>
      </c>
    </row>
    <row r="191" spans="1:8">
      <c r="A191" s="380" t="s">
        <v>136</v>
      </c>
      <c r="B191" s="12" t="s">
        <v>1436</v>
      </c>
      <c r="C191" s="390" t="s">
        <v>755</v>
      </c>
      <c r="D191" s="384">
        <v>414</v>
      </c>
      <c r="E191" s="388" t="s">
        <v>304</v>
      </c>
      <c r="F191" s="12" t="s">
        <v>1445</v>
      </c>
      <c r="G191" s="12" t="s">
        <v>1446</v>
      </c>
      <c r="H191" s="382" t="s">
        <v>1447</v>
      </c>
    </row>
    <row r="192" spans="1:8">
      <c r="A192" s="380" t="s">
        <v>137</v>
      </c>
      <c r="B192" s="12" t="s">
        <v>1436</v>
      </c>
      <c r="C192" s="390" t="s">
        <v>755</v>
      </c>
      <c r="D192" s="384">
        <v>415</v>
      </c>
      <c r="E192" s="388" t="s">
        <v>304</v>
      </c>
      <c r="F192" s="12" t="s">
        <v>1448</v>
      </c>
      <c r="G192" s="12" t="s">
        <v>1449</v>
      </c>
      <c r="H192" s="382" t="s">
        <v>1450</v>
      </c>
    </row>
    <row r="193" spans="1:8">
      <c r="A193" s="380" t="s">
        <v>138</v>
      </c>
      <c r="B193" s="12" t="s">
        <v>1436</v>
      </c>
      <c r="C193" s="390" t="s">
        <v>755</v>
      </c>
      <c r="D193" s="384">
        <v>416</v>
      </c>
      <c r="E193" s="388" t="s">
        <v>304</v>
      </c>
      <c r="F193" s="12" t="s">
        <v>1451</v>
      </c>
      <c r="G193" s="12" t="s">
        <v>1452</v>
      </c>
      <c r="H193" s="382" t="s">
        <v>1450</v>
      </c>
    </row>
    <row r="194" spans="1:8">
      <c r="A194" s="380" t="s">
        <v>1453</v>
      </c>
      <c r="B194" s="12" t="s">
        <v>1454</v>
      </c>
      <c r="C194" s="390" t="s">
        <v>755</v>
      </c>
      <c r="D194" s="384">
        <v>417</v>
      </c>
      <c r="E194" s="54"/>
      <c r="F194" s="12" t="s">
        <v>1455</v>
      </c>
      <c r="G194" s="12" t="s">
        <v>1456</v>
      </c>
      <c r="H194" s="382" t="s">
        <v>1457</v>
      </c>
    </row>
    <row r="195" spans="1:8">
      <c r="A195" s="380" t="s">
        <v>1458</v>
      </c>
      <c r="B195" s="12" t="s">
        <v>1459</v>
      </c>
      <c r="C195" s="390" t="s">
        <v>755</v>
      </c>
      <c r="D195" s="384">
        <v>418</v>
      </c>
      <c r="E195" s="388" t="s">
        <v>304</v>
      </c>
      <c r="F195" s="12" t="s">
        <v>1460</v>
      </c>
      <c r="G195" s="12" t="s">
        <v>1461</v>
      </c>
      <c r="H195" s="382" t="s">
        <v>1457</v>
      </c>
    </row>
    <row r="196" spans="1:8">
      <c r="A196" s="380" t="s">
        <v>1462</v>
      </c>
      <c r="B196" s="12" t="s">
        <v>1454</v>
      </c>
      <c r="C196" s="390" t="s">
        <v>755</v>
      </c>
      <c r="D196" s="384">
        <v>419</v>
      </c>
      <c r="E196" s="54"/>
      <c r="F196" s="12" t="s">
        <v>1463</v>
      </c>
      <c r="G196" s="12" t="s">
        <v>1464</v>
      </c>
      <c r="H196" s="382" t="s">
        <v>1457</v>
      </c>
    </row>
    <row r="197" spans="1:8">
      <c r="A197" s="380" t="s">
        <v>238</v>
      </c>
      <c r="B197" s="12" t="s">
        <v>1465</v>
      </c>
      <c r="C197" s="390" t="s">
        <v>968</v>
      </c>
      <c r="D197" s="384">
        <v>420</v>
      </c>
      <c r="E197" s="388" t="s">
        <v>61</v>
      </c>
      <c r="F197" s="12" t="s">
        <v>1466</v>
      </c>
      <c r="G197" s="12" t="s">
        <v>1467</v>
      </c>
      <c r="H197" s="382" t="s">
        <v>1468</v>
      </c>
    </row>
    <row r="198" spans="1:8" ht="10.8" thickBot="1">
      <c r="A198" s="391" t="s">
        <v>239</v>
      </c>
      <c r="B198" s="392" t="s">
        <v>1465</v>
      </c>
      <c r="C198" s="393" t="s">
        <v>968</v>
      </c>
      <c r="D198" s="394">
        <v>421</v>
      </c>
      <c r="E198" s="395" t="s">
        <v>61</v>
      </c>
      <c r="F198" s="392" t="s">
        <v>1469</v>
      </c>
      <c r="G198" s="392" t="s">
        <v>1470</v>
      </c>
      <c r="H198" s="396" t="s">
        <v>1468</v>
      </c>
    </row>
  </sheetData>
  <autoFilter ref="A1:AN198"/>
  <customSheetViews>
    <customSheetView guid="{08F29437-BBE1-46C0-B84C-12B7ABEF1718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6C0BD6A7-6718-429D-82D9-D2FE0341EA2C}" scale="90" showAutoFilter="1">
      <pane ySplit="2" topLeftCell="A162" activePane="bottomLeft" state="frozen"/>
      <selection pane="bottomLeft" activeCell="B175" sqref="B175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3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4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21875" defaultRowHeight="13.2"/>
  <cols>
    <col min="1" max="1" width="11.21875" style="215" bestFit="1" customWidth="1"/>
    <col min="2" max="2" width="6.77734375" style="215" hidden="1" customWidth="1"/>
    <col min="3" max="3" width="30.21875" style="307" customWidth="1"/>
    <col min="4" max="4" width="7" style="319" bestFit="1" customWidth="1"/>
    <col min="5" max="5" width="11.21875" style="215" bestFit="1" customWidth="1"/>
    <col min="6" max="6" width="13.21875" style="215" customWidth="1"/>
    <col min="7" max="7" width="14.5546875" style="215" customWidth="1"/>
    <col min="8" max="8" width="23.77734375" style="215" customWidth="1"/>
    <col min="9" max="9" width="15.5546875" style="216" customWidth="1"/>
    <col min="10" max="10" width="27" style="216" customWidth="1"/>
    <col min="11" max="11" width="23.5546875" style="273" customWidth="1"/>
    <col min="12" max="12" width="14.5546875" style="274" customWidth="1"/>
    <col min="13" max="15" width="12.21875" style="221" customWidth="1"/>
    <col min="16" max="16" width="13.21875" style="221" customWidth="1"/>
    <col min="17" max="17" width="10" style="221" customWidth="1"/>
    <col min="18" max="18" width="10" style="368" customWidth="1"/>
    <col min="19" max="19" width="12.21875" style="296" customWidth="1"/>
    <col min="20" max="20" width="20.21875" style="221" customWidth="1"/>
    <col min="21" max="51" width="9.21875" style="221"/>
    <col min="52" max="16384" width="9.21875" style="215"/>
  </cols>
  <sheetData>
    <row r="1" spans="1:51" s="211" customFormat="1">
      <c r="A1" s="202" t="s">
        <v>542</v>
      </c>
      <c r="B1" s="202" t="s">
        <v>288</v>
      </c>
      <c r="C1" s="298" t="s">
        <v>289</v>
      </c>
      <c r="D1" s="308" t="s">
        <v>244</v>
      </c>
      <c r="E1" s="202" t="s">
        <v>290</v>
      </c>
      <c r="F1" s="202" t="s">
        <v>291</v>
      </c>
      <c r="G1" s="202" t="s">
        <v>292</v>
      </c>
      <c r="H1" s="202"/>
      <c r="I1" s="203" t="s">
        <v>293</v>
      </c>
      <c r="J1" s="203" t="s">
        <v>294</v>
      </c>
      <c r="K1" s="204" t="s">
        <v>295</v>
      </c>
      <c r="L1" s="205" t="s">
        <v>296</v>
      </c>
      <c r="M1" s="206" t="s">
        <v>297</v>
      </c>
      <c r="N1" s="207" t="s">
        <v>298</v>
      </c>
      <c r="O1" s="208" t="s">
        <v>299</v>
      </c>
      <c r="P1" s="209" t="s">
        <v>300</v>
      </c>
      <c r="Q1" s="210" t="s">
        <v>301</v>
      </c>
      <c r="R1" s="297" t="s">
        <v>594</v>
      </c>
      <c r="S1" s="293" t="s">
        <v>590</v>
      </c>
      <c r="T1" s="210" t="s">
        <v>1488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>
      <c r="A2" s="212" t="s">
        <v>333</v>
      </c>
      <c r="B2" s="212" t="s">
        <v>215</v>
      </c>
      <c r="C2" s="288" t="s">
        <v>636</v>
      </c>
      <c r="D2" s="309" t="s">
        <v>243</v>
      </c>
      <c r="E2" s="212" t="s">
        <v>302</v>
      </c>
      <c r="F2" s="213">
        <v>2931.11</v>
      </c>
      <c r="G2" s="214">
        <f>+F2*12</f>
        <v>35173.32</v>
      </c>
      <c r="H2" s="215" t="s">
        <v>306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589</v>
      </c>
      <c r="S2" s="289">
        <v>151283.22</v>
      </c>
    </row>
    <row r="3" spans="1:51">
      <c r="A3" s="222" t="s">
        <v>303</v>
      </c>
      <c r="B3" s="222" t="s">
        <v>201</v>
      </c>
      <c r="C3" s="288" t="s">
        <v>637</v>
      </c>
      <c r="D3" s="310" t="s">
        <v>304</v>
      </c>
      <c r="E3" s="222" t="s">
        <v>305</v>
      </c>
      <c r="F3" s="223">
        <v>3684.87</v>
      </c>
      <c r="G3" s="223">
        <f t="shared" ref="G3:G28" si="0">+F3*12</f>
        <v>44218.44</v>
      </c>
      <c r="H3" s="224" t="s">
        <v>306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564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>
      <c r="A4" s="232" t="s">
        <v>307</v>
      </c>
      <c r="B4" s="232" t="s">
        <v>202</v>
      </c>
      <c r="C4" s="299" t="s">
        <v>638</v>
      </c>
      <c r="D4" s="310" t="s">
        <v>304</v>
      </c>
      <c r="E4" s="232" t="s">
        <v>308</v>
      </c>
      <c r="F4" s="233">
        <v>3596.62</v>
      </c>
      <c r="G4" s="233">
        <f t="shared" si="0"/>
        <v>43159.44</v>
      </c>
      <c r="H4" s="224" t="s">
        <v>306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565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>
      <c r="A5" s="232" t="s">
        <v>309</v>
      </c>
      <c r="B5" s="232" t="s">
        <v>203</v>
      </c>
      <c r="C5" s="299" t="s">
        <v>638</v>
      </c>
      <c r="D5" s="311" t="s">
        <v>304</v>
      </c>
      <c r="E5" s="232" t="s">
        <v>308</v>
      </c>
      <c r="F5" s="233">
        <v>3596.62</v>
      </c>
      <c r="G5" s="233">
        <f t="shared" si="0"/>
        <v>43159.44</v>
      </c>
      <c r="H5" s="224" t="s">
        <v>306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566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>
      <c r="A6" s="232" t="s">
        <v>311</v>
      </c>
      <c r="B6" s="232" t="s">
        <v>204</v>
      </c>
      <c r="C6" s="299" t="s">
        <v>638</v>
      </c>
      <c r="D6" s="311" t="s">
        <v>304</v>
      </c>
      <c r="E6" s="232" t="s">
        <v>308</v>
      </c>
      <c r="F6" s="233">
        <v>3596.62</v>
      </c>
      <c r="G6" s="233">
        <f t="shared" si="0"/>
        <v>43159.44</v>
      </c>
      <c r="H6" s="224" t="s">
        <v>306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567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>
      <c r="A7" s="232" t="s">
        <v>326</v>
      </c>
      <c r="B7" s="232" t="s">
        <v>212</v>
      </c>
      <c r="C7" s="299" t="s">
        <v>638</v>
      </c>
      <c r="D7" s="310" t="s">
        <v>304</v>
      </c>
      <c r="E7" s="232" t="s">
        <v>308</v>
      </c>
      <c r="F7" s="233">
        <v>3596.62</v>
      </c>
      <c r="G7" s="233">
        <f t="shared" si="0"/>
        <v>43159.44</v>
      </c>
      <c r="H7" s="224" t="s">
        <v>306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568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>
      <c r="A8" s="232" t="s">
        <v>403</v>
      </c>
      <c r="B8" s="232" t="s">
        <v>404</v>
      </c>
      <c r="C8" s="299" t="s">
        <v>638</v>
      </c>
      <c r="D8" s="310" t="s">
        <v>304</v>
      </c>
      <c r="E8" s="232" t="s">
        <v>308</v>
      </c>
      <c r="F8" s="233">
        <v>3596.62</v>
      </c>
      <c r="G8" s="233">
        <f t="shared" si="0"/>
        <v>43159.44</v>
      </c>
      <c r="H8" s="224" t="s">
        <v>306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569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>
      <c r="A9" s="234" t="s">
        <v>316</v>
      </c>
      <c r="B9" s="235" t="s">
        <v>206</v>
      </c>
      <c r="C9" s="288" t="s">
        <v>639</v>
      </c>
      <c r="D9" s="312" t="s">
        <v>129</v>
      </c>
      <c r="E9" s="235" t="s">
        <v>317</v>
      </c>
      <c r="F9" s="236">
        <v>3437.09</v>
      </c>
      <c r="G9" s="236">
        <f t="shared" si="0"/>
        <v>41245.08</v>
      </c>
      <c r="H9" s="224" t="s">
        <v>306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570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>
      <c r="A10" s="234" t="s">
        <v>319</v>
      </c>
      <c r="B10" s="235" t="s">
        <v>207</v>
      </c>
      <c r="C10" s="288" t="s">
        <v>639</v>
      </c>
      <c r="D10" s="312" t="s">
        <v>129</v>
      </c>
      <c r="E10" s="235" t="s">
        <v>317</v>
      </c>
      <c r="F10" s="236">
        <v>3437.09</v>
      </c>
      <c r="G10" s="236">
        <f t="shared" si="0"/>
        <v>41245.08</v>
      </c>
      <c r="H10" s="224" t="s">
        <v>306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571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>
      <c r="A11" s="234" t="s">
        <v>320</v>
      </c>
      <c r="B11" s="235" t="s">
        <v>208</v>
      </c>
      <c r="C11" s="288" t="s">
        <v>644</v>
      </c>
      <c r="D11" s="312" t="s">
        <v>131</v>
      </c>
      <c r="E11" s="235" t="s">
        <v>317</v>
      </c>
      <c r="F11" s="236">
        <v>3437.09</v>
      </c>
      <c r="G11" s="236">
        <f t="shared" si="0"/>
        <v>41245.08</v>
      </c>
      <c r="H11" s="224" t="s">
        <v>306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601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>
      <c r="A12" s="234" t="s">
        <v>322</v>
      </c>
      <c r="B12" s="235" t="s">
        <v>209</v>
      </c>
      <c r="C12" s="288" t="s">
        <v>1502</v>
      </c>
      <c r="D12" s="311" t="s">
        <v>1503</v>
      </c>
      <c r="E12" s="235" t="s">
        <v>317</v>
      </c>
      <c r="F12" s="236">
        <v>3437.09</v>
      </c>
      <c r="G12" s="236">
        <f t="shared" si="0"/>
        <v>41245.08</v>
      </c>
      <c r="H12" s="224" t="s">
        <v>306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572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>
      <c r="A13" s="234" t="s">
        <v>324</v>
      </c>
      <c r="B13" s="235" t="s">
        <v>210</v>
      </c>
      <c r="C13" s="288" t="s">
        <v>640</v>
      </c>
      <c r="D13" s="312" t="s">
        <v>130</v>
      </c>
      <c r="E13" s="235" t="s">
        <v>317</v>
      </c>
      <c r="F13" s="236">
        <v>3437.09</v>
      </c>
      <c r="G13" s="236">
        <f t="shared" si="0"/>
        <v>41245.08</v>
      </c>
      <c r="H13" s="224" t="s">
        <v>306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573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>
      <c r="A14" s="234" t="s">
        <v>325</v>
      </c>
      <c r="B14" s="235" t="s">
        <v>211</v>
      </c>
      <c r="C14" s="288" t="s">
        <v>635</v>
      </c>
      <c r="D14" s="312" t="s">
        <v>115</v>
      </c>
      <c r="E14" s="235" t="s">
        <v>317</v>
      </c>
      <c r="F14" s="236">
        <v>3437.09</v>
      </c>
      <c r="G14" s="236">
        <f t="shared" si="0"/>
        <v>41245.08</v>
      </c>
      <c r="H14" s="224" t="s">
        <v>306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574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>
      <c r="A15" s="234" t="s">
        <v>328</v>
      </c>
      <c r="B15" s="235" t="s">
        <v>214</v>
      </c>
      <c r="C15" s="288" t="s">
        <v>642</v>
      </c>
      <c r="D15" s="312" t="s">
        <v>103</v>
      </c>
      <c r="E15" s="235" t="s">
        <v>317</v>
      </c>
      <c r="F15" s="236">
        <v>3437.09</v>
      </c>
      <c r="G15" s="236">
        <f t="shared" si="0"/>
        <v>41245.08</v>
      </c>
      <c r="H15" s="224" t="s">
        <v>306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575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>
      <c r="A16" s="234" t="s">
        <v>386</v>
      </c>
      <c r="B16" s="235" t="s">
        <v>387</v>
      </c>
      <c r="C16" s="288" t="s">
        <v>639</v>
      </c>
      <c r="D16" s="311" t="s">
        <v>129</v>
      </c>
      <c r="E16" s="235" t="s">
        <v>317</v>
      </c>
      <c r="F16" s="236">
        <v>3437.09</v>
      </c>
      <c r="G16" s="236">
        <f t="shared" si="0"/>
        <v>41245.08</v>
      </c>
      <c r="H16" s="224" t="s">
        <v>306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576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>
      <c r="A17" s="234" t="s">
        <v>388</v>
      </c>
      <c r="B17" s="235" t="s">
        <v>389</v>
      </c>
      <c r="C17" s="288" t="s">
        <v>643</v>
      </c>
      <c r="D17" s="311" t="s">
        <v>62</v>
      </c>
      <c r="E17" s="235" t="s">
        <v>317</v>
      </c>
      <c r="F17" s="236">
        <v>3437.09</v>
      </c>
      <c r="G17" s="236">
        <f t="shared" si="0"/>
        <v>41245.08</v>
      </c>
      <c r="H17" s="224" t="s">
        <v>306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577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>
      <c r="A18" s="234" t="s">
        <v>390</v>
      </c>
      <c r="B18" s="235" t="s">
        <v>391</v>
      </c>
      <c r="C18" s="288" t="s">
        <v>644</v>
      </c>
      <c r="D18" s="312" t="s">
        <v>131</v>
      </c>
      <c r="E18" s="235" t="s">
        <v>317</v>
      </c>
      <c r="F18" s="236">
        <v>3437.09</v>
      </c>
      <c r="G18" s="236">
        <f t="shared" si="0"/>
        <v>41245.08</v>
      </c>
      <c r="H18" s="224" t="s">
        <v>306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578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>
      <c r="A19" s="234" t="s">
        <v>392</v>
      </c>
      <c r="B19" s="235" t="s">
        <v>393</v>
      </c>
      <c r="C19" s="288" t="s">
        <v>644</v>
      </c>
      <c r="D19" s="312" t="s">
        <v>131</v>
      </c>
      <c r="E19" s="235" t="s">
        <v>317</v>
      </c>
      <c r="F19" s="236">
        <v>3437.09</v>
      </c>
      <c r="G19" s="236">
        <f t="shared" si="0"/>
        <v>41245.08</v>
      </c>
      <c r="H19" s="224" t="s">
        <v>306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579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>
      <c r="A20" s="234" t="s">
        <v>405</v>
      </c>
      <c r="B20" s="235" t="s">
        <v>406</v>
      </c>
      <c r="C20" s="288" t="s">
        <v>645</v>
      </c>
      <c r="D20" s="310" t="s">
        <v>63</v>
      </c>
      <c r="E20" s="235" t="s">
        <v>317</v>
      </c>
      <c r="F20" s="236">
        <v>3437.09</v>
      </c>
      <c r="G20" s="236">
        <f t="shared" si="0"/>
        <v>41245.08</v>
      </c>
      <c r="H20" s="224" t="s">
        <v>306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580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>
      <c r="A21" s="234" t="s">
        <v>407</v>
      </c>
      <c r="B21" s="235" t="s">
        <v>408</v>
      </c>
      <c r="C21" s="288" t="s">
        <v>643</v>
      </c>
      <c r="D21" s="312" t="s">
        <v>62</v>
      </c>
      <c r="E21" s="235" t="s">
        <v>317</v>
      </c>
      <c r="F21" s="236">
        <v>3437.09</v>
      </c>
      <c r="G21" s="236">
        <f t="shared" si="0"/>
        <v>41245.08</v>
      </c>
      <c r="H21" s="224" t="s">
        <v>306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581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>
      <c r="A22" s="234" t="s">
        <v>409</v>
      </c>
      <c r="B22" s="235" t="s">
        <v>410</v>
      </c>
      <c r="C22" s="288" t="s">
        <v>639</v>
      </c>
      <c r="D22" s="312" t="s">
        <v>129</v>
      </c>
      <c r="E22" s="235" t="s">
        <v>317</v>
      </c>
      <c r="F22" s="236">
        <v>3437.09</v>
      </c>
      <c r="G22" s="236">
        <f t="shared" si="0"/>
        <v>41245.08</v>
      </c>
      <c r="H22" s="224" t="s">
        <v>306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582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>
      <c r="A23" s="234" t="s">
        <v>411</v>
      </c>
      <c r="B23" s="235" t="s">
        <v>412</v>
      </c>
      <c r="C23" s="288" t="s">
        <v>639</v>
      </c>
      <c r="D23" s="312" t="s">
        <v>129</v>
      </c>
      <c r="E23" s="235" t="s">
        <v>317</v>
      </c>
      <c r="F23" s="236">
        <v>3437.09</v>
      </c>
      <c r="G23" s="236">
        <f t="shared" si="0"/>
        <v>41245.08</v>
      </c>
      <c r="H23" s="224" t="s">
        <v>306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583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>
      <c r="A24" s="234" t="s">
        <v>419</v>
      </c>
      <c r="B24" s="235" t="s">
        <v>420</v>
      </c>
      <c r="C24" s="288" t="s">
        <v>639</v>
      </c>
      <c r="D24" s="312" t="s">
        <v>129</v>
      </c>
      <c r="E24" s="235" t="s">
        <v>317</v>
      </c>
      <c r="F24" s="236">
        <v>3437.09</v>
      </c>
      <c r="G24" s="236">
        <f t="shared" si="0"/>
        <v>41245.08</v>
      </c>
      <c r="H24" s="224" t="s">
        <v>306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584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>
      <c r="A25" s="234" t="s">
        <v>421</v>
      </c>
      <c r="B25" s="235" t="s">
        <v>422</v>
      </c>
      <c r="C25" s="288" t="s">
        <v>630</v>
      </c>
      <c r="D25" s="311" t="s">
        <v>196</v>
      </c>
      <c r="E25" s="235" t="s">
        <v>317</v>
      </c>
      <c r="F25" s="236">
        <v>3437.09</v>
      </c>
      <c r="G25" s="236">
        <f t="shared" si="0"/>
        <v>41245.08</v>
      </c>
      <c r="H25" s="224" t="s">
        <v>306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585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>
      <c r="A26" s="234" t="s">
        <v>423</v>
      </c>
      <c r="B26" s="235" t="s">
        <v>424</v>
      </c>
      <c r="C26" s="288" t="s">
        <v>641</v>
      </c>
      <c r="D26" s="312" t="s">
        <v>631</v>
      </c>
      <c r="E26" s="235" t="s">
        <v>317</v>
      </c>
      <c r="F26" s="236">
        <v>3437.09</v>
      </c>
      <c r="G26" s="236">
        <f t="shared" si="0"/>
        <v>41245.08</v>
      </c>
      <c r="H26" s="224" t="s">
        <v>306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586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>
      <c r="A27" s="234" t="s">
        <v>425</v>
      </c>
      <c r="B27" s="235" t="s">
        <v>426</v>
      </c>
      <c r="C27" s="288" t="s">
        <v>642</v>
      </c>
      <c r="D27" s="312" t="s">
        <v>103</v>
      </c>
      <c r="E27" s="235" t="s">
        <v>317</v>
      </c>
      <c r="F27" s="236">
        <v>3437.09</v>
      </c>
      <c r="G27" s="236">
        <f t="shared" si="0"/>
        <v>41245.08</v>
      </c>
      <c r="H27" s="224" t="s">
        <v>306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587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>
      <c r="A28" s="234" t="s">
        <v>427</v>
      </c>
      <c r="B28" s="235" t="s">
        <v>428</v>
      </c>
      <c r="C28" s="288" t="s">
        <v>633</v>
      </c>
      <c r="D28" s="312" t="s">
        <v>116</v>
      </c>
      <c r="E28" s="235" t="s">
        <v>317</v>
      </c>
      <c r="F28" s="236">
        <v>3437.09</v>
      </c>
      <c r="G28" s="236">
        <f t="shared" si="0"/>
        <v>41245.08</v>
      </c>
      <c r="H28" s="224" t="s">
        <v>306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588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>
      <c r="A29" s="239" t="s">
        <v>330</v>
      </c>
      <c r="B29" s="239" t="s">
        <v>216</v>
      </c>
      <c r="C29" s="285" t="s">
        <v>646</v>
      </c>
      <c r="D29" s="312" t="s">
        <v>631</v>
      </c>
      <c r="E29" s="239" t="s">
        <v>332</v>
      </c>
      <c r="F29" s="240">
        <v>5418.79</v>
      </c>
      <c r="G29" s="240">
        <f>+F29*12</f>
        <v>65025.479999999996</v>
      </c>
      <c r="H29" s="224" t="s">
        <v>315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543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>
      <c r="A30" s="239" t="s">
        <v>260</v>
      </c>
      <c r="B30" s="239" t="s">
        <v>217</v>
      </c>
      <c r="C30" s="285" t="s">
        <v>646</v>
      </c>
      <c r="D30" s="312" t="s">
        <v>631</v>
      </c>
      <c r="E30" s="239" t="s">
        <v>332</v>
      </c>
      <c r="F30" s="240">
        <v>5418.79</v>
      </c>
      <c r="G30" s="240">
        <f>+F30*12</f>
        <v>65025.479999999996</v>
      </c>
      <c r="H30" s="224" t="s">
        <v>315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544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>
      <c r="A31" s="239" t="s">
        <v>261</v>
      </c>
      <c r="B31" s="239" t="s">
        <v>218</v>
      </c>
      <c r="C31" s="285" t="s">
        <v>646</v>
      </c>
      <c r="D31" s="312" t="s">
        <v>331</v>
      </c>
      <c r="E31" s="239" t="s">
        <v>332</v>
      </c>
      <c r="F31" s="240">
        <v>5418.79</v>
      </c>
      <c r="G31" s="240">
        <f>+F31*12</f>
        <v>65025.479999999996</v>
      </c>
      <c r="H31" s="224" t="s">
        <v>315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545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>
      <c r="A32" s="239" t="s">
        <v>262</v>
      </c>
      <c r="B32" s="239" t="s">
        <v>219</v>
      </c>
      <c r="C32" s="285" t="s">
        <v>646</v>
      </c>
      <c r="D32" s="312" t="s">
        <v>331</v>
      </c>
      <c r="E32" s="239" t="s">
        <v>332</v>
      </c>
      <c r="F32" s="240">
        <v>5418.79</v>
      </c>
      <c r="G32" s="240">
        <f>+F32*12</f>
        <v>65025.479999999996</v>
      </c>
      <c r="H32" s="224" t="s">
        <v>315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546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>
      <c r="A33" s="239" t="s">
        <v>263</v>
      </c>
      <c r="B33" s="239" t="s">
        <v>220</v>
      </c>
      <c r="C33" s="285" t="s">
        <v>646</v>
      </c>
      <c r="D33" s="312" t="s">
        <v>631</v>
      </c>
      <c r="E33" s="239" t="s">
        <v>332</v>
      </c>
      <c r="F33" s="240">
        <v>5418.79</v>
      </c>
      <c r="G33" s="240">
        <f>+F33*12</f>
        <v>65025.479999999996</v>
      </c>
      <c r="H33" s="224" t="s">
        <v>315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547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>
      <c r="A34" s="239" t="s">
        <v>264</v>
      </c>
      <c r="B34" s="239" t="s">
        <v>221</v>
      </c>
      <c r="C34" s="285" t="s">
        <v>646</v>
      </c>
      <c r="D34" s="312" t="s">
        <v>631</v>
      </c>
      <c r="E34" s="239" t="s">
        <v>332</v>
      </c>
      <c r="F34" s="240">
        <v>5418.79</v>
      </c>
      <c r="G34" s="240">
        <f t="shared" ref="G34:G65" si="5">+F34*12</f>
        <v>65025.479999999996</v>
      </c>
      <c r="H34" s="224" t="s">
        <v>315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548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>
      <c r="A35" s="239" t="s">
        <v>265</v>
      </c>
      <c r="B35" s="239" t="s">
        <v>222</v>
      </c>
      <c r="C35" s="285" t="s">
        <v>646</v>
      </c>
      <c r="D35" s="312" t="s">
        <v>331</v>
      </c>
      <c r="E35" s="239" t="s">
        <v>332</v>
      </c>
      <c r="F35" s="240">
        <v>5418.79</v>
      </c>
      <c r="G35" s="240">
        <f t="shared" si="5"/>
        <v>65025.479999999996</v>
      </c>
      <c r="H35" s="224" t="s">
        <v>315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549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>
      <c r="A36" s="239" t="s">
        <v>266</v>
      </c>
      <c r="B36" s="239" t="s">
        <v>223</v>
      </c>
      <c r="C36" s="285" t="s">
        <v>646</v>
      </c>
      <c r="D36" s="312" t="s">
        <v>331</v>
      </c>
      <c r="E36" s="239" t="s">
        <v>332</v>
      </c>
      <c r="F36" s="240">
        <v>5418.79</v>
      </c>
      <c r="G36" s="240">
        <f t="shared" si="5"/>
        <v>65025.479999999996</v>
      </c>
      <c r="H36" s="224" t="s">
        <v>315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550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>
      <c r="A37" s="239" t="s">
        <v>267</v>
      </c>
      <c r="B37" s="239" t="s">
        <v>224</v>
      </c>
      <c r="C37" s="285" t="s">
        <v>646</v>
      </c>
      <c r="D37" s="312" t="s">
        <v>331</v>
      </c>
      <c r="E37" s="239" t="s">
        <v>332</v>
      </c>
      <c r="F37" s="240">
        <v>5418.79</v>
      </c>
      <c r="G37" s="240">
        <f t="shared" si="5"/>
        <v>65025.479999999996</v>
      </c>
      <c r="H37" s="224" t="s">
        <v>315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551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>
      <c r="A38" s="239" t="s">
        <v>268</v>
      </c>
      <c r="B38" s="239" t="s">
        <v>380</v>
      </c>
      <c r="C38" s="285" t="s">
        <v>646</v>
      </c>
      <c r="D38" s="312" t="s">
        <v>331</v>
      </c>
      <c r="E38" s="239" t="s">
        <v>332</v>
      </c>
      <c r="F38" s="240">
        <v>5418.79</v>
      </c>
      <c r="G38" s="240">
        <f t="shared" si="5"/>
        <v>65025.479999999996</v>
      </c>
      <c r="H38" s="224" t="s">
        <v>315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552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>
      <c r="A39" s="239" t="s">
        <v>269</v>
      </c>
      <c r="B39" s="239" t="s">
        <v>429</v>
      </c>
      <c r="C39" s="285" t="s">
        <v>646</v>
      </c>
      <c r="D39" s="312" t="s">
        <v>331</v>
      </c>
      <c r="E39" s="239" t="s">
        <v>332</v>
      </c>
      <c r="F39" s="240">
        <v>5418.79</v>
      </c>
      <c r="G39" s="240">
        <f t="shared" si="5"/>
        <v>65025.479999999996</v>
      </c>
      <c r="H39" s="224" t="s">
        <v>315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553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>
      <c r="A40" s="239" t="s">
        <v>270</v>
      </c>
      <c r="B40" s="239" t="s">
        <v>430</v>
      </c>
      <c r="C40" s="285" t="s">
        <v>646</v>
      </c>
      <c r="D40" s="312" t="s">
        <v>331</v>
      </c>
      <c r="E40" s="239" t="s">
        <v>332</v>
      </c>
      <c r="F40" s="240">
        <v>5418.79</v>
      </c>
      <c r="G40" s="240">
        <f t="shared" si="5"/>
        <v>65025.479999999996</v>
      </c>
      <c r="H40" s="224" t="s">
        <v>315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554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>
      <c r="A41" s="239" t="s">
        <v>271</v>
      </c>
      <c r="B41" s="239" t="s">
        <v>431</v>
      </c>
      <c r="C41" s="285" t="s">
        <v>646</v>
      </c>
      <c r="D41" s="312" t="s">
        <v>631</v>
      </c>
      <c r="E41" s="239" t="s">
        <v>332</v>
      </c>
      <c r="F41" s="240">
        <v>5418.79</v>
      </c>
      <c r="G41" s="240">
        <f t="shared" si="5"/>
        <v>65025.479999999996</v>
      </c>
      <c r="H41" s="224" t="s">
        <v>315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555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>
      <c r="A42" s="239" t="s">
        <v>272</v>
      </c>
      <c r="B42" s="239" t="s">
        <v>432</v>
      </c>
      <c r="C42" s="285" t="s">
        <v>646</v>
      </c>
      <c r="D42" s="312" t="s">
        <v>331</v>
      </c>
      <c r="E42" s="239" t="s">
        <v>332</v>
      </c>
      <c r="F42" s="240">
        <v>5418.79</v>
      </c>
      <c r="G42" s="240">
        <f t="shared" si="5"/>
        <v>65025.479999999996</v>
      </c>
      <c r="H42" s="224" t="s">
        <v>315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556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>
      <c r="A43" s="241" t="s">
        <v>313</v>
      </c>
      <c r="B43" s="241" t="s">
        <v>205</v>
      </c>
      <c r="C43" s="9" t="s">
        <v>647</v>
      </c>
      <c r="D43" s="312" t="s">
        <v>61</v>
      </c>
      <c r="E43" s="241" t="s">
        <v>314</v>
      </c>
      <c r="F43" s="242">
        <v>4954.3900000000003</v>
      </c>
      <c r="G43" s="242">
        <f t="shared" si="5"/>
        <v>59452.680000000008</v>
      </c>
      <c r="H43" s="224" t="s">
        <v>315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557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>
      <c r="A44" s="241" t="s">
        <v>327</v>
      </c>
      <c r="B44" s="241" t="s">
        <v>213</v>
      </c>
      <c r="C44" s="9" t="s">
        <v>647</v>
      </c>
      <c r="D44" s="310" t="s">
        <v>61</v>
      </c>
      <c r="E44" s="241" t="s">
        <v>314</v>
      </c>
      <c r="F44" s="242">
        <v>4954.3900000000003</v>
      </c>
      <c r="G44" s="242">
        <f t="shared" si="5"/>
        <v>59452.680000000008</v>
      </c>
      <c r="H44" s="224" t="s">
        <v>315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558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>
      <c r="A45" s="241" t="s">
        <v>347</v>
      </c>
      <c r="B45" s="241" t="s">
        <v>329</v>
      </c>
      <c r="C45" s="9" t="s">
        <v>657</v>
      </c>
      <c r="D45" s="312" t="s">
        <v>129</v>
      </c>
      <c r="E45" s="241" t="s">
        <v>314</v>
      </c>
      <c r="F45" s="242">
        <v>4954.3900000000003</v>
      </c>
      <c r="G45" s="242">
        <f t="shared" si="5"/>
        <v>59452.680000000008</v>
      </c>
      <c r="H45" s="224" t="s">
        <v>315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559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>
      <c r="A46" s="241" t="s">
        <v>394</v>
      </c>
      <c r="B46" s="241" t="s">
        <v>395</v>
      </c>
      <c r="C46" s="9" t="s">
        <v>657</v>
      </c>
      <c r="D46" s="311" t="s">
        <v>129</v>
      </c>
      <c r="E46" s="241" t="s">
        <v>314</v>
      </c>
      <c r="F46" s="242">
        <v>4954.3900000000003</v>
      </c>
      <c r="G46" s="242">
        <f t="shared" si="5"/>
        <v>59452.680000000008</v>
      </c>
      <c r="H46" s="224" t="s">
        <v>315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560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>
      <c r="A47" s="241" t="s">
        <v>396</v>
      </c>
      <c r="B47" s="241" t="s">
        <v>286</v>
      </c>
      <c r="C47" s="9" t="s">
        <v>657</v>
      </c>
      <c r="D47" s="312" t="s">
        <v>129</v>
      </c>
      <c r="E47" s="241" t="s">
        <v>314</v>
      </c>
      <c r="F47" s="242">
        <v>4954.3900000000003</v>
      </c>
      <c r="G47" s="242">
        <f t="shared" si="5"/>
        <v>59452.680000000008</v>
      </c>
      <c r="H47" s="224" t="s">
        <v>315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561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>
      <c r="A48" s="241" t="s">
        <v>397</v>
      </c>
      <c r="B48" s="241" t="s">
        <v>398</v>
      </c>
      <c r="C48" s="9" t="s">
        <v>656</v>
      </c>
      <c r="D48" s="312" t="s">
        <v>103</v>
      </c>
      <c r="E48" s="241" t="s">
        <v>314</v>
      </c>
      <c r="F48" s="242">
        <v>4954.3900000000003</v>
      </c>
      <c r="G48" s="242">
        <f t="shared" si="5"/>
        <v>59452.680000000008</v>
      </c>
      <c r="H48" s="224" t="s">
        <v>315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562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>
      <c r="A49" s="243" t="s">
        <v>348</v>
      </c>
      <c r="B49" s="243" t="s">
        <v>346</v>
      </c>
      <c r="C49" s="9" t="s">
        <v>657</v>
      </c>
      <c r="D49" s="312" t="s">
        <v>129</v>
      </c>
      <c r="E49" s="243" t="s">
        <v>349</v>
      </c>
      <c r="F49" s="244">
        <v>5163.37</v>
      </c>
      <c r="G49" s="244">
        <f t="shared" si="5"/>
        <v>61960.44</v>
      </c>
      <c r="H49" s="224" t="s">
        <v>315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563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>
      <c r="A50" s="245" t="s">
        <v>334</v>
      </c>
      <c r="B50" s="245" t="s">
        <v>335</v>
      </c>
      <c r="C50" s="2" t="s">
        <v>634</v>
      </c>
      <c r="D50" s="310" t="s">
        <v>116</v>
      </c>
      <c r="E50" s="245" t="s">
        <v>310</v>
      </c>
      <c r="F50" s="246">
        <v>6998.47</v>
      </c>
      <c r="G50" s="246">
        <f t="shared" si="5"/>
        <v>83981.64</v>
      </c>
      <c r="H50" s="224" t="s">
        <v>336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597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>
      <c r="A51" s="245" t="s">
        <v>337</v>
      </c>
      <c r="B51" s="245" t="s">
        <v>338</v>
      </c>
      <c r="C51" s="2" t="s">
        <v>632</v>
      </c>
      <c r="D51" s="310" t="s">
        <v>115</v>
      </c>
      <c r="E51" s="245" t="s">
        <v>310</v>
      </c>
      <c r="F51" s="246">
        <v>6998.47</v>
      </c>
      <c r="G51" s="246">
        <f t="shared" si="5"/>
        <v>83981.64</v>
      </c>
      <c r="H51" s="224" t="s">
        <v>336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598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>
      <c r="A52" s="247" t="s">
        <v>399</v>
      </c>
      <c r="B52" s="247" t="s">
        <v>400</v>
      </c>
      <c r="C52" s="2" t="s">
        <v>648</v>
      </c>
      <c r="D52" s="312" t="s">
        <v>61</v>
      </c>
      <c r="E52" s="247" t="s">
        <v>312</v>
      </c>
      <c r="F52" s="248">
        <v>6892.51</v>
      </c>
      <c r="G52" s="248">
        <f t="shared" si="5"/>
        <v>82710.12</v>
      </c>
      <c r="H52" s="224" t="s">
        <v>336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602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>
      <c r="A53" s="247" t="s">
        <v>401</v>
      </c>
      <c r="B53" s="247" t="s">
        <v>402</v>
      </c>
      <c r="C53" s="2" t="s">
        <v>663</v>
      </c>
      <c r="D53" s="311" t="s">
        <v>63</v>
      </c>
      <c r="E53" s="247" t="s">
        <v>312</v>
      </c>
      <c r="F53" s="248">
        <v>6892.51</v>
      </c>
      <c r="G53" s="248">
        <f t="shared" si="5"/>
        <v>82710.12</v>
      </c>
      <c r="H53" s="224" t="s">
        <v>336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603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>
      <c r="A54" s="247" t="s">
        <v>436</v>
      </c>
      <c r="B54" s="247" t="s">
        <v>437</v>
      </c>
      <c r="C54" s="2" t="s">
        <v>663</v>
      </c>
      <c r="D54" s="312" t="s">
        <v>63</v>
      </c>
      <c r="E54" s="247" t="s">
        <v>312</v>
      </c>
      <c r="F54" s="248">
        <v>6892.51</v>
      </c>
      <c r="G54" s="248">
        <f t="shared" si="5"/>
        <v>82710.12</v>
      </c>
      <c r="H54" s="224" t="s">
        <v>336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604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>
      <c r="A55" s="247" t="s">
        <v>438</v>
      </c>
      <c r="B55" s="247" t="s">
        <v>439</v>
      </c>
      <c r="C55" s="2" t="s">
        <v>663</v>
      </c>
      <c r="D55" s="312" t="s">
        <v>63</v>
      </c>
      <c r="E55" s="247" t="s">
        <v>312</v>
      </c>
      <c r="F55" s="248">
        <v>6892.51</v>
      </c>
      <c r="G55" s="248">
        <f t="shared" si="5"/>
        <v>82710.12</v>
      </c>
      <c r="H55" s="224" t="s">
        <v>336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605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>
      <c r="A56" s="247" t="s">
        <v>440</v>
      </c>
      <c r="B56" s="247" t="s">
        <v>441</v>
      </c>
      <c r="C56" s="2" t="s">
        <v>661</v>
      </c>
      <c r="D56" s="311" t="s">
        <v>62</v>
      </c>
      <c r="E56" s="247" t="s">
        <v>312</v>
      </c>
      <c r="F56" s="248">
        <v>6892.51</v>
      </c>
      <c r="G56" s="248">
        <f t="shared" si="5"/>
        <v>82710.12</v>
      </c>
      <c r="H56" s="224" t="s">
        <v>336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606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>
      <c r="A57" s="249" t="s">
        <v>339</v>
      </c>
      <c r="B57" s="249" t="s">
        <v>225</v>
      </c>
      <c r="C57" s="2" t="s">
        <v>668</v>
      </c>
      <c r="D57" s="312" t="s">
        <v>631</v>
      </c>
      <c r="E57" s="249" t="s">
        <v>340</v>
      </c>
      <c r="F57" s="250">
        <v>8221.42</v>
      </c>
      <c r="G57" s="250">
        <f t="shared" si="5"/>
        <v>98657.040000000008</v>
      </c>
      <c r="H57" s="224" t="s">
        <v>315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607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>
      <c r="A58" s="249" t="s">
        <v>341</v>
      </c>
      <c r="B58" s="249" t="s">
        <v>226</v>
      </c>
      <c r="C58" s="2" t="s">
        <v>668</v>
      </c>
      <c r="D58" s="312" t="s">
        <v>631</v>
      </c>
      <c r="E58" s="249" t="s">
        <v>340</v>
      </c>
      <c r="F58" s="250">
        <v>8221.42</v>
      </c>
      <c r="G58" s="250">
        <f t="shared" si="5"/>
        <v>98657.040000000008</v>
      </c>
      <c r="H58" s="224" t="s">
        <v>315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608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>
      <c r="A59" s="249" t="s">
        <v>342</v>
      </c>
      <c r="B59" s="249" t="s">
        <v>227</v>
      </c>
      <c r="C59" s="2" t="s">
        <v>668</v>
      </c>
      <c r="D59" s="312" t="s">
        <v>331</v>
      </c>
      <c r="E59" s="249" t="s">
        <v>340</v>
      </c>
      <c r="F59" s="250">
        <v>8221.42</v>
      </c>
      <c r="G59" s="250">
        <f t="shared" si="5"/>
        <v>98657.040000000008</v>
      </c>
      <c r="H59" s="224" t="s">
        <v>315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609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>
      <c r="A60" s="249" t="s">
        <v>274</v>
      </c>
      <c r="B60" s="249" t="s">
        <v>352</v>
      </c>
      <c r="C60" s="2" t="s">
        <v>668</v>
      </c>
      <c r="D60" s="312" t="s">
        <v>331</v>
      </c>
      <c r="E60" s="249" t="s">
        <v>340</v>
      </c>
      <c r="F60" s="250">
        <v>8221.42</v>
      </c>
      <c r="G60" s="250">
        <f t="shared" si="5"/>
        <v>98657.040000000008</v>
      </c>
      <c r="H60" s="224" t="s">
        <v>315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610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>
      <c r="A61" s="249" t="s">
        <v>353</v>
      </c>
      <c r="B61" s="249" t="s">
        <v>354</v>
      </c>
      <c r="C61" s="2" t="s">
        <v>664</v>
      </c>
      <c r="D61" s="312" t="s">
        <v>63</v>
      </c>
      <c r="E61" s="249" t="s">
        <v>340</v>
      </c>
      <c r="F61" s="250">
        <v>8221.42</v>
      </c>
      <c r="G61" s="250">
        <f t="shared" si="5"/>
        <v>98657.040000000008</v>
      </c>
      <c r="H61" s="224" t="s">
        <v>315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611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>
      <c r="A62" s="249" t="s">
        <v>275</v>
      </c>
      <c r="B62" s="249" t="s">
        <v>355</v>
      </c>
      <c r="C62" s="2" t="s">
        <v>649</v>
      </c>
      <c r="D62" s="312" t="s">
        <v>61</v>
      </c>
      <c r="E62" s="249" t="s">
        <v>340</v>
      </c>
      <c r="F62" s="250">
        <v>8221.42</v>
      </c>
      <c r="G62" s="250">
        <f t="shared" si="5"/>
        <v>98657.040000000008</v>
      </c>
      <c r="H62" s="224" t="s">
        <v>315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612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>
      <c r="A63" s="249" t="s">
        <v>276</v>
      </c>
      <c r="B63" s="249" t="s">
        <v>356</v>
      </c>
      <c r="C63" s="2" t="s">
        <v>658</v>
      </c>
      <c r="D63" s="311" t="s">
        <v>129</v>
      </c>
      <c r="E63" s="249" t="s">
        <v>340</v>
      </c>
      <c r="F63" s="250">
        <v>8221.42</v>
      </c>
      <c r="G63" s="250">
        <f t="shared" si="5"/>
        <v>98657.040000000008</v>
      </c>
      <c r="H63" s="224" t="s">
        <v>315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613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>
      <c r="A64" s="249" t="s">
        <v>277</v>
      </c>
      <c r="B64" s="249" t="s">
        <v>357</v>
      </c>
      <c r="C64" s="2" t="s">
        <v>668</v>
      </c>
      <c r="D64" s="311" t="s">
        <v>331</v>
      </c>
      <c r="E64" s="249" t="s">
        <v>340</v>
      </c>
      <c r="F64" s="250">
        <v>8221.42</v>
      </c>
      <c r="G64" s="250">
        <f t="shared" si="5"/>
        <v>98657.040000000008</v>
      </c>
      <c r="H64" s="224" t="s">
        <v>315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1475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>
      <c r="A65" s="249" t="s">
        <v>364</v>
      </c>
      <c r="B65" s="249" t="s">
        <v>365</v>
      </c>
      <c r="C65" s="2" t="s">
        <v>658</v>
      </c>
      <c r="D65" s="312" t="s">
        <v>129</v>
      </c>
      <c r="E65" s="249" t="s">
        <v>340</v>
      </c>
      <c r="F65" s="250">
        <v>8221.42</v>
      </c>
      <c r="G65" s="250">
        <f t="shared" si="5"/>
        <v>98657.040000000008</v>
      </c>
      <c r="H65" s="224" t="s">
        <v>315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614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>
      <c r="A66" s="249" t="s">
        <v>366</v>
      </c>
      <c r="B66" s="249" t="s">
        <v>367</v>
      </c>
      <c r="C66" s="2" t="s">
        <v>664</v>
      </c>
      <c r="D66" s="310" t="s">
        <v>63</v>
      </c>
      <c r="E66" s="249" t="s">
        <v>340</v>
      </c>
      <c r="F66" s="250">
        <v>8221.42</v>
      </c>
      <c r="G66" s="250">
        <f t="shared" ref="G66:G89" si="8">+F66*12</f>
        <v>98657.040000000008</v>
      </c>
      <c r="H66" s="224" t="s">
        <v>315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615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>
      <c r="A67" s="249" t="s">
        <v>368</v>
      </c>
      <c r="B67" s="249" t="s">
        <v>369</v>
      </c>
      <c r="C67" s="2" t="s">
        <v>668</v>
      </c>
      <c r="D67" s="313" t="s">
        <v>331</v>
      </c>
      <c r="E67" s="249" t="s">
        <v>340</v>
      </c>
      <c r="F67" s="250">
        <v>8221.42</v>
      </c>
      <c r="G67" s="250">
        <f t="shared" si="8"/>
        <v>98657.040000000008</v>
      </c>
      <c r="H67" s="224" t="s">
        <v>315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616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>
      <c r="A68" s="249" t="s">
        <v>370</v>
      </c>
      <c r="B68" s="249" t="s">
        <v>371</v>
      </c>
      <c r="C68" s="2" t="s">
        <v>649</v>
      </c>
      <c r="D68" s="314" t="s">
        <v>61</v>
      </c>
      <c r="E68" s="249" t="s">
        <v>340</v>
      </c>
      <c r="F68" s="250">
        <v>8221.42</v>
      </c>
      <c r="G68" s="250">
        <f t="shared" si="8"/>
        <v>98657.040000000008</v>
      </c>
      <c r="H68" s="224" t="s">
        <v>315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1476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>
      <c r="A69" s="249" t="s">
        <v>378</v>
      </c>
      <c r="B69" s="249" t="s">
        <v>379</v>
      </c>
      <c r="C69" s="2" t="s">
        <v>662</v>
      </c>
      <c r="D69" s="311" t="s">
        <v>62</v>
      </c>
      <c r="E69" s="249" t="s">
        <v>340</v>
      </c>
      <c r="F69" s="250">
        <v>8221.42</v>
      </c>
      <c r="G69" s="250">
        <f t="shared" si="8"/>
        <v>98657.040000000008</v>
      </c>
      <c r="H69" s="224" t="s">
        <v>315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617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>
      <c r="A70" s="249" t="s">
        <v>384</v>
      </c>
      <c r="B70" s="249" t="s">
        <v>385</v>
      </c>
      <c r="C70" s="2" t="s">
        <v>649</v>
      </c>
      <c r="D70" s="311" t="s">
        <v>61</v>
      </c>
      <c r="E70" s="249" t="s">
        <v>340</v>
      </c>
      <c r="F70" s="250">
        <v>8221.42</v>
      </c>
      <c r="G70" s="250">
        <f t="shared" si="8"/>
        <v>98657.040000000008</v>
      </c>
      <c r="H70" s="224" t="s">
        <v>315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618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>
      <c r="A71" s="249" t="s">
        <v>446</v>
      </c>
      <c r="B71" s="249" t="s">
        <v>445</v>
      </c>
      <c r="C71" s="2" t="s">
        <v>668</v>
      </c>
      <c r="D71" s="314" t="s">
        <v>331</v>
      </c>
      <c r="E71" s="249" t="s">
        <v>340</v>
      </c>
      <c r="F71" s="250">
        <v>8221.42</v>
      </c>
      <c r="G71" s="250">
        <f t="shared" si="8"/>
        <v>98657.040000000008</v>
      </c>
      <c r="H71" s="224" t="s">
        <v>315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690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>
      <c r="A72" s="249" t="s">
        <v>447</v>
      </c>
      <c r="B72" s="249" t="s">
        <v>445</v>
      </c>
      <c r="C72" s="2" t="s">
        <v>668</v>
      </c>
      <c r="D72" s="314" t="s">
        <v>331</v>
      </c>
      <c r="E72" s="249" t="s">
        <v>340</v>
      </c>
      <c r="F72" s="250">
        <v>8221.42</v>
      </c>
      <c r="G72" s="250">
        <f t="shared" si="8"/>
        <v>98657.040000000008</v>
      </c>
      <c r="H72" s="224" t="s">
        <v>315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1477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>
      <c r="A73" s="249" t="s">
        <v>448</v>
      </c>
      <c r="B73" s="249" t="s">
        <v>445</v>
      </c>
      <c r="C73" s="2" t="s">
        <v>668</v>
      </c>
      <c r="D73" s="314" t="s">
        <v>331</v>
      </c>
      <c r="E73" s="249" t="s">
        <v>340</v>
      </c>
      <c r="F73" s="250">
        <v>8221.42</v>
      </c>
      <c r="G73" s="250">
        <f t="shared" si="8"/>
        <v>98657.040000000008</v>
      </c>
      <c r="H73" s="224" t="s">
        <v>315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1478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>
      <c r="A74" s="251" t="s">
        <v>375</v>
      </c>
      <c r="B74" s="251" t="s">
        <v>376</v>
      </c>
      <c r="C74" s="300" t="s">
        <v>665</v>
      </c>
      <c r="D74" s="311" t="s">
        <v>63</v>
      </c>
      <c r="E74" s="251" t="s">
        <v>377</v>
      </c>
      <c r="F74" s="252">
        <v>10212.11</v>
      </c>
      <c r="G74" s="252">
        <f t="shared" si="8"/>
        <v>122545.32</v>
      </c>
      <c r="H74" s="224" t="s">
        <v>315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1486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>
      <c r="A75" s="253" t="s">
        <v>278</v>
      </c>
      <c r="B75" s="253" t="s">
        <v>350</v>
      </c>
      <c r="C75" s="301" t="s">
        <v>669</v>
      </c>
      <c r="D75" s="312" t="s">
        <v>331</v>
      </c>
      <c r="E75" s="253" t="s">
        <v>351</v>
      </c>
      <c r="F75" s="254">
        <v>9227.8799999999992</v>
      </c>
      <c r="G75" s="254">
        <f t="shared" si="8"/>
        <v>110734.56</v>
      </c>
      <c r="H75" s="224" t="s">
        <v>315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691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>
      <c r="A76" s="253" t="s">
        <v>279</v>
      </c>
      <c r="B76" s="253" t="s">
        <v>363</v>
      </c>
      <c r="C76" s="301" t="s">
        <v>669</v>
      </c>
      <c r="D76" s="312" t="s">
        <v>331</v>
      </c>
      <c r="E76" s="253" t="s">
        <v>351</v>
      </c>
      <c r="F76" s="254">
        <v>9227.8799999999992</v>
      </c>
      <c r="G76" s="254">
        <f t="shared" si="8"/>
        <v>110734.56</v>
      </c>
      <c r="H76" s="224" t="s">
        <v>315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692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>
      <c r="A77" s="255" t="s">
        <v>413</v>
      </c>
      <c r="B77" s="255" t="s">
        <v>414</v>
      </c>
      <c r="C77" s="9" t="s">
        <v>666</v>
      </c>
      <c r="D77" s="312" t="s">
        <v>304</v>
      </c>
      <c r="E77" s="255" t="s">
        <v>318</v>
      </c>
      <c r="F77" s="256">
        <v>12140.7</v>
      </c>
      <c r="G77" s="256">
        <f t="shared" si="8"/>
        <v>145688.40000000002</v>
      </c>
      <c r="H77" s="224" t="s">
        <v>336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619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>
      <c r="A78" s="255" t="s">
        <v>415</v>
      </c>
      <c r="B78" s="255" t="s">
        <v>416</v>
      </c>
      <c r="C78" s="9" t="s">
        <v>666</v>
      </c>
      <c r="D78" s="312" t="s">
        <v>304</v>
      </c>
      <c r="E78" s="255" t="s">
        <v>318</v>
      </c>
      <c r="F78" s="256">
        <v>12140.7</v>
      </c>
      <c r="G78" s="256">
        <f t="shared" si="8"/>
        <v>145688.40000000002</v>
      </c>
      <c r="H78" s="224" t="s">
        <v>336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620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>
      <c r="A79" s="255" t="s">
        <v>417</v>
      </c>
      <c r="B79" s="255" t="s">
        <v>418</v>
      </c>
      <c r="C79" s="9" t="s">
        <v>666</v>
      </c>
      <c r="D79" s="312" t="s">
        <v>304</v>
      </c>
      <c r="E79" s="255" t="s">
        <v>318</v>
      </c>
      <c r="F79" s="256">
        <v>12140.7</v>
      </c>
      <c r="G79" s="256">
        <f t="shared" si="8"/>
        <v>145688.40000000002</v>
      </c>
      <c r="H79" s="224" t="s">
        <v>336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621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>
      <c r="A80" s="257" t="s">
        <v>381</v>
      </c>
      <c r="B80" s="257" t="s">
        <v>382</v>
      </c>
      <c r="C80" s="302" t="s">
        <v>650</v>
      </c>
      <c r="D80" s="312" t="s">
        <v>61</v>
      </c>
      <c r="E80" s="257" t="s">
        <v>383</v>
      </c>
      <c r="F80" s="258">
        <v>13295.81</v>
      </c>
      <c r="G80" s="258">
        <f t="shared" si="8"/>
        <v>159549.72</v>
      </c>
      <c r="H80" s="224" t="s">
        <v>315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622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>
      <c r="A81" s="257" t="s">
        <v>442</v>
      </c>
      <c r="B81" s="257" t="s">
        <v>443</v>
      </c>
      <c r="C81" s="302" t="s">
        <v>650</v>
      </c>
      <c r="D81" s="313" t="s">
        <v>61</v>
      </c>
      <c r="E81" s="257" t="s">
        <v>383</v>
      </c>
      <c r="F81" s="258">
        <v>13295.81</v>
      </c>
      <c r="G81" s="258">
        <f t="shared" si="8"/>
        <v>159549.72</v>
      </c>
      <c r="H81" s="224" t="s">
        <v>315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623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>
      <c r="A82" s="224" t="s">
        <v>444</v>
      </c>
      <c r="B82" s="224"/>
      <c r="C82" s="302" t="s">
        <v>650</v>
      </c>
      <c r="D82" s="311" t="s">
        <v>61</v>
      </c>
      <c r="E82" s="257" t="s">
        <v>383</v>
      </c>
      <c r="F82" s="258">
        <v>13296.81</v>
      </c>
      <c r="G82" s="258">
        <f t="shared" si="8"/>
        <v>159561.72</v>
      </c>
      <c r="H82" s="224" t="s">
        <v>315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693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>
      <c r="A83" s="259" t="s">
        <v>281</v>
      </c>
      <c r="B83" s="259" t="s">
        <v>361</v>
      </c>
      <c r="C83" s="2" t="s">
        <v>688</v>
      </c>
      <c r="D83" s="312" t="s">
        <v>331</v>
      </c>
      <c r="E83" s="259" t="s">
        <v>362</v>
      </c>
      <c r="F83" s="260">
        <v>13260.01</v>
      </c>
      <c r="G83" s="260">
        <f t="shared" si="8"/>
        <v>159120.12</v>
      </c>
      <c r="H83" s="224" t="s">
        <v>315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624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>
      <c r="A84" s="261" t="s">
        <v>282</v>
      </c>
      <c r="B84" s="261" t="s">
        <v>358</v>
      </c>
      <c r="C84" s="2" t="s">
        <v>689</v>
      </c>
      <c r="D84" s="312" t="s">
        <v>61</v>
      </c>
      <c r="E84" s="261" t="s">
        <v>359</v>
      </c>
      <c r="F84" s="262">
        <v>15645.86</v>
      </c>
      <c r="G84" s="262">
        <f t="shared" si="8"/>
        <v>187750.32</v>
      </c>
      <c r="H84" s="224" t="s">
        <v>315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625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>
      <c r="A85" s="261" t="s">
        <v>283</v>
      </c>
      <c r="B85" s="261" t="s">
        <v>360</v>
      </c>
      <c r="C85" s="2" t="s">
        <v>688</v>
      </c>
      <c r="D85" s="312" t="s">
        <v>631</v>
      </c>
      <c r="E85" s="261" t="s">
        <v>359</v>
      </c>
      <c r="F85" s="262">
        <v>15645.86</v>
      </c>
      <c r="G85" s="262">
        <f t="shared" si="8"/>
        <v>187750.32</v>
      </c>
      <c r="H85" s="224" t="s">
        <v>315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694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>
      <c r="A86" s="263" t="s">
        <v>433</v>
      </c>
      <c r="B86" s="263" t="s">
        <v>434</v>
      </c>
      <c r="C86" s="303" t="s">
        <v>651</v>
      </c>
      <c r="D86" s="311" t="s">
        <v>61</v>
      </c>
      <c r="E86" s="263" t="s">
        <v>435</v>
      </c>
      <c r="F86" s="264">
        <v>12999.17</v>
      </c>
      <c r="G86" s="264">
        <f t="shared" si="8"/>
        <v>155990.04</v>
      </c>
      <c r="H86" s="224" t="s">
        <v>315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1479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>
      <c r="A87" s="265" t="s">
        <v>372</v>
      </c>
      <c r="B87" s="265" t="s">
        <v>373</v>
      </c>
      <c r="C87" s="304" t="s">
        <v>660</v>
      </c>
      <c r="D87" s="308" t="s">
        <v>131</v>
      </c>
      <c r="E87" s="265" t="s">
        <v>374</v>
      </c>
      <c r="F87" s="266">
        <v>13362.3</v>
      </c>
      <c r="G87" s="266">
        <f t="shared" si="8"/>
        <v>160347.59999999998</v>
      </c>
      <c r="H87" s="224" t="s">
        <v>315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1480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>
      <c r="A88" s="257" t="s">
        <v>343</v>
      </c>
      <c r="B88" s="257" t="s">
        <v>228</v>
      </c>
      <c r="C88" s="302" t="s">
        <v>659</v>
      </c>
      <c r="D88" s="315" t="s">
        <v>129</v>
      </c>
      <c r="E88" s="257" t="s">
        <v>321</v>
      </c>
      <c r="F88" s="258">
        <v>14670.23</v>
      </c>
      <c r="G88" s="258">
        <f t="shared" si="8"/>
        <v>176042.76</v>
      </c>
      <c r="H88" s="224" t="s">
        <v>315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1481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8" thickBot="1">
      <c r="A89" s="275" t="s">
        <v>344</v>
      </c>
      <c r="B89" s="275" t="s">
        <v>345</v>
      </c>
      <c r="C89" s="305" t="s">
        <v>667</v>
      </c>
      <c r="D89" s="316" t="s">
        <v>304</v>
      </c>
      <c r="E89" s="275" t="s">
        <v>323</v>
      </c>
      <c r="F89" s="276">
        <v>40000</v>
      </c>
      <c r="G89" s="276">
        <f t="shared" si="8"/>
        <v>480000</v>
      </c>
      <c r="H89" s="277" t="s">
        <v>471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1482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8" thickBot="1">
      <c r="A90" s="278" t="s">
        <v>454</v>
      </c>
      <c r="B90" s="278" t="s">
        <v>445</v>
      </c>
      <c r="C90" s="287" t="s">
        <v>652</v>
      </c>
      <c r="D90" s="317" t="s">
        <v>61</v>
      </c>
      <c r="E90" s="278" t="s">
        <v>465</v>
      </c>
      <c r="F90" s="279"/>
      <c r="G90" s="279"/>
      <c r="H90" s="278" t="s">
        <v>470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626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8" thickBot="1">
      <c r="A91" s="278" t="s">
        <v>455</v>
      </c>
      <c r="B91" s="278" t="s">
        <v>445</v>
      </c>
      <c r="C91" s="287" t="s">
        <v>652</v>
      </c>
      <c r="D91" s="317" t="s">
        <v>61</v>
      </c>
      <c r="E91" s="278" t="s">
        <v>465</v>
      </c>
      <c r="F91" s="279"/>
      <c r="G91" s="279"/>
      <c r="H91" s="278" t="s">
        <v>470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627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8" thickBot="1">
      <c r="A92" s="278" t="s">
        <v>456</v>
      </c>
      <c r="B92" s="278" t="s">
        <v>445</v>
      </c>
      <c r="C92" s="287" t="s">
        <v>653</v>
      </c>
      <c r="D92" s="317" t="s">
        <v>61</v>
      </c>
      <c r="E92" s="278" t="s">
        <v>466</v>
      </c>
      <c r="F92" s="279"/>
      <c r="G92" s="279"/>
      <c r="H92" s="278" t="s">
        <v>471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1483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8" thickBot="1">
      <c r="A93" s="278" t="s">
        <v>457</v>
      </c>
      <c r="B93" s="278" t="s">
        <v>445</v>
      </c>
      <c r="C93" s="287" t="s">
        <v>653</v>
      </c>
      <c r="D93" s="317" t="s">
        <v>61</v>
      </c>
      <c r="E93" s="278" t="s">
        <v>466</v>
      </c>
      <c r="F93" s="279"/>
      <c r="G93" s="279"/>
      <c r="H93" s="278" t="s">
        <v>471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1484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8" thickBot="1">
      <c r="A94" s="278" t="s">
        <v>458</v>
      </c>
      <c r="B94" s="278" t="s">
        <v>445</v>
      </c>
      <c r="C94" s="287" t="s">
        <v>654</v>
      </c>
      <c r="D94" s="318" t="s">
        <v>61</v>
      </c>
      <c r="E94" s="278" t="s">
        <v>467</v>
      </c>
      <c r="F94" s="279"/>
      <c r="G94" s="279"/>
      <c r="H94" s="278" t="s">
        <v>471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695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8" thickBot="1">
      <c r="A95" s="278" t="s">
        <v>459</v>
      </c>
      <c r="B95" s="278" t="s">
        <v>445</v>
      </c>
      <c r="C95" s="287" t="s">
        <v>654</v>
      </c>
      <c r="D95" s="317" t="s">
        <v>61</v>
      </c>
      <c r="E95" s="278" t="s">
        <v>467</v>
      </c>
      <c r="F95" s="279"/>
      <c r="G95" s="279"/>
      <c r="H95" s="278" t="s">
        <v>471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1487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8" thickBot="1">
      <c r="A96" s="278" t="s">
        <v>460</v>
      </c>
      <c r="B96" s="278" t="s">
        <v>445</v>
      </c>
      <c r="C96" s="287" t="s">
        <v>655</v>
      </c>
      <c r="D96" s="317" t="s">
        <v>61</v>
      </c>
      <c r="E96" s="278" t="s">
        <v>468</v>
      </c>
      <c r="F96" s="279"/>
      <c r="G96" s="279"/>
      <c r="H96" s="278" t="s">
        <v>472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1471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8" thickBot="1">
      <c r="A97" s="278" t="s">
        <v>461</v>
      </c>
      <c r="B97" s="278" t="s">
        <v>445</v>
      </c>
      <c r="C97" s="287" t="s">
        <v>655</v>
      </c>
      <c r="D97" s="317" t="s">
        <v>61</v>
      </c>
      <c r="E97" s="278" t="s">
        <v>468</v>
      </c>
      <c r="F97" s="279"/>
      <c r="G97" s="279"/>
      <c r="H97" s="278" t="s">
        <v>472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1472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8" thickBot="1">
      <c r="A98" s="278" t="s">
        <v>462</v>
      </c>
      <c r="B98" s="278" t="s">
        <v>445</v>
      </c>
      <c r="C98" s="287" t="s">
        <v>655</v>
      </c>
      <c r="D98" s="317" t="s">
        <v>61</v>
      </c>
      <c r="E98" s="278" t="s">
        <v>468</v>
      </c>
      <c r="F98" s="279"/>
      <c r="G98" s="279"/>
      <c r="H98" s="278" t="s">
        <v>472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1473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8" thickBot="1">
      <c r="A99" s="278" t="s">
        <v>463</v>
      </c>
      <c r="B99" s="278" t="s">
        <v>445</v>
      </c>
      <c r="C99" s="287" t="s">
        <v>655</v>
      </c>
      <c r="D99" s="317" t="s">
        <v>61</v>
      </c>
      <c r="E99" s="278" t="s">
        <v>468</v>
      </c>
      <c r="F99" s="279"/>
      <c r="G99" s="279"/>
      <c r="H99" s="278" t="s">
        <v>472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1474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8" thickBot="1">
      <c r="A100" s="278" t="s">
        <v>464</v>
      </c>
      <c r="B100" s="278" t="s">
        <v>445</v>
      </c>
      <c r="C100" s="286" t="s">
        <v>670</v>
      </c>
      <c r="D100" s="318" t="s">
        <v>631</v>
      </c>
      <c r="E100" s="278" t="s">
        <v>469</v>
      </c>
      <c r="F100" s="279"/>
      <c r="G100" s="279"/>
      <c r="H100" s="278" t="s">
        <v>315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628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>
      <c r="F103" s="272"/>
      <c r="G103" s="272"/>
    </row>
    <row r="104" spans="1:51">
      <c r="F104" s="272"/>
      <c r="G104" s="272"/>
    </row>
    <row r="105" spans="1:51">
      <c r="F105" s="272"/>
      <c r="G105" s="272"/>
    </row>
    <row r="106" spans="1:51">
      <c r="F106" s="272"/>
      <c r="G106" s="272"/>
    </row>
    <row r="107" spans="1:51">
      <c r="F107" s="272"/>
      <c r="G107" s="272"/>
    </row>
    <row r="108" spans="1:51">
      <c r="F108" s="272"/>
      <c r="G108" s="272"/>
    </row>
    <row r="109" spans="1:51">
      <c r="F109" s="272"/>
      <c r="G109" s="272"/>
    </row>
    <row r="110" spans="1:51">
      <c r="F110" s="272"/>
      <c r="G110" s="272"/>
    </row>
    <row r="111" spans="1:51">
      <c r="F111" s="272"/>
      <c r="G111" s="272"/>
    </row>
    <row r="112" spans="1:51">
      <c r="F112" s="272"/>
      <c r="G112" s="272"/>
    </row>
    <row r="113" spans="6:7">
      <c r="F113" s="272"/>
      <c r="G113" s="272"/>
    </row>
    <row r="114" spans="6:7">
      <c r="F114" s="272"/>
      <c r="G114" s="272"/>
    </row>
    <row r="115" spans="6:7">
      <c r="F115" s="272"/>
      <c r="G115" s="272"/>
    </row>
  </sheetData>
  <autoFilter ref="A1:AY100"/>
  <sortState ref="A3:AY28">
    <sortCondition ref="A3"/>
  </sortState>
  <customSheetViews>
    <customSheetView guid="{08F29437-BBE1-46C0-B84C-12B7ABEF1718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6C0BD6A7-6718-429D-82D9-D2FE0341EA2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4"/>
      <autoFilter ref="A1:AY100"/>
    </customSheetView>
  </customSheetViews>
  <pageMargins left="0" right="0" top="0" bottom="0" header="0.31496062992125984" footer="0.31496062992125984"/>
  <pageSetup paperSize="9" scale="9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21875" defaultRowHeight="10.199999999999999"/>
  <cols>
    <col min="1" max="1" width="9.77734375" style="127" bestFit="1" customWidth="1"/>
    <col min="2" max="2" width="20.21875" style="128" customWidth="1"/>
    <col min="3" max="3" width="13.21875" style="128" customWidth="1"/>
    <col min="4" max="4" width="12" style="126" customWidth="1"/>
    <col min="5" max="5" width="11.5546875" style="126" customWidth="1"/>
    <col min="6" max="6" width="10.77734375" style="126" customWidth="1"/>
    <col min="7" max="7" width="10.44140625" style="113" customWidth="1"/>
    <col min="8" max="8" width="10" style="113" customWidth="1"/>
    <col min="9" max="9" width="8.5546875" style="132" bestFit="1" customWidth="1"/>
    <col min="10" max="10" width="13.77734375" style="113" bestFit="1" customWidth="1"/>
    <col min="11" max="16384" width="9.21875" style="114"/>
  </cols>
  <sheetData>
    <row r="1" spans="1:10">
      <c r="A1" s="106" t="s">
        <v>198</v>
      </c>
      <c r="B1" s="107" t="s">
        <v>199</v>
      </c>
      <c r="C1" s="107" t="s">
        <v>232</v>
      </c>
      <c r="D1" s="108" t="s">
        <v>230</v>
      </c>
      <c r="E1" s="109" t="s">
        <v>233</v>
      </c>
      <c r="F1" s="110" t="s">
        <v>231</v>
      </c>
      <c r="G1" s="111" t="s">
        <v>234</v>
      </c>
      <c r="H1" s="112" t="s">
        <v>200</v>
      </c>
      <c r="I1" s="132" t="s">
        <v>244</v>
      </c>
      <c r="J1" s="113" t="s">
        <v>245</v>
      </c>
    </row>
    <row r="2" spans="1:10">
      <c r="A2" s="115" t="s">
        <v>201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253</v>
      </c>
      <c r="J2" s="113" t="s">
        <v>246</v>
      </c>
    </row>
    <row r="3" spans="1:10">
      <c r="A3" s="115" t="s">
        <v>202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253</v>
      </c>
      <c r="J3" s="113" t="s">
        <v>246</v>
      </c>
    </row>
    <row r="4" spans="1:10">
      <c r="A4" s="115" t="s">
        <v>203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253</v>
      </c>
      <c r="J4" s="113" t="s">
        <v>246</v>
      </c>
    </row>
    <row r="5" spans="1:10">
      <c r="A5" s="115" t="s">
        <v>204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253</v>
      </c>
      <c r="J5" s="113" t="s">
        <v>246</v>
      </c>
    </row>
    <row r="6" spans="1:10">
      <c r="A6" s="115" t="s">
        <v>205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254</v>
      </c>
      <c r="J6" s="113" t="s">
        <v>247</v>
      </c>
    </row>
    <row r="7" spans="1:10">
      <c r="A7" s="115" t="s">
        <v>206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246</v>
      </c>
    </row>
    <row r="8" spans="1:10">
      <c r="A8" s="115" t="s">
        <v>207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246</v>
      </c>
    </row>
    <row r="9" spans="1:10">
      <c r="A9" s="115" t="s">
        <v>208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246</v>
      </c>
    </row>
    <row r="10" spans="1:10">
      <c r="A10" s="115" t="s">
        <v>209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246</v>
      </c>
    </row>
    <row r="11" spans="1:10">
      <c r="A11" s="115" t="s">
        <v>210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246</v>
      </c>
    </row>
    <row r="12" spans="1:10">
      <c r="A12" s="115" t="s">
        <v>211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246</v>
      </c>
    </row>
    <row r="13" spans="1:10">
      <c r="A13" s="115" t="s">
        <v>212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253</v>
      </c>
      <c r="J13" s="113" t="s">
        <v>246</v>
      </c>
    </row>
    <row r="14" spans="1:10">
      <c r="A14" s="115" t="s">
        <v>213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254</v>
      </c>
      <c r="J14" s="113" t="s">
        <v>247</v>
      </c>
    </row>
    <row r="15" spans="1:10">
      <c r="A15" s="115" t="s">
        <v>214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48</v>
      </c>
      <c r="J15" s="113" t="s">
        <v>246</v>
      </c>
    </row>
    <row r="16" spans="1:10">
      <c r="A16" s="115" t="s">
        <v>215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139</v>
      </c>
    </row>
    <row r="17" spans="1:10">
      <c r="A17" s="115" t="s">
        <v>216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255</v>
      </c>
      <c r="J17" s="113" t="s">
        <v>248</v>
      </c>
    </row>
    <row r="18" spans="1:10">
      <c r="A18" s="115" t="s">
        <v>217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255</v>
      </c>
      <c r="J18" s="113" t="s">
        <v>248</v>
      </c>
    </row>
    <row r="19" spans="1:10">
      <c r="A19" s="115" t="s">
        <v>218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255</v>
      </c>
      <c r="J19" s="113" t="s">
        <v>248</v>
      </c>
    </row>
    <row r="20" spans="1:10">
      <c r="A20" s="115" t="s">
        <v>219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255</v>
      </c>
      <c r="J20" s="113" t="s">
        <v>248</v>
      </c>
    </row>
    <row r="21" spans="1:10">
      <c r="A21" s="115" t="s">
        <v>220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255</v>
      </c>
      <c r="J21" s="113" t="s">
        <v>248</v>
      </c>
    </row>
    <row r="22" spans="1:10">
      <c r="A22" s="115" t="s">
        <v>221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255</v>
      </c>
      <c r="J22" s="113" t="s">
        <v>248</v>
      </c>
    </row>
    <row r="23" spans="1:10">
      <c r="A23" s="115" t="s">
        <v>222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255</v>
      </c>
      <c r="J23" s="113" t="s">
        <v>248</v>
      </c>
    </row>
    <row r="24" spans="1:10">
      <c r="A24" s="115" t="s">
        <v>223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255</v>
      </c>
      <c r="J24" s="113" t="s">
        <v>248</v>
      </c>
    </row>
    <row r="25" spans="1:10">
      <c r="A25" s="115" t="s">
        <v>224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255</v>
      </c>
      <c r="J25" s="113" t="s">
        <v>248</v>
      </c>
    </row>
    <row r="26" spans="1:10">
      <c r="A26" s="115" t="s">
        <v>225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254</v>
      </c>
      <c r="J26" s="113" t="s">
        <v>249</v>
      </c>
    </row>
    <row r="27" spans="1:10">
      <c r="A27" s="115" t="s">
        <v>226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253</v>
      </c>
      <c r="J27" s="113" t="s">
        <v>249</v>
      </c>
    </row>
    <row r="28" spans="1:10">
      <c r="A28" s="115" t="s">
        <v>227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253</v>
      </c>
      <c r="J28" s="113" t="s">
        <v>249</v>
      </c>
    </row>
    <row r="29" spans="1:10">
      <c r="A29" s="115" t="s">
        <v>228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250</v>
      </c>
    </row>
    <row r="30" spans="1:10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253</v>
      </c>
      <c r="J30" s="113" t="s">
        <v>251</v>
      </c>
    </row>
    <row r="31" spans="1:10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252</v>
      </c>
    </row>
    <row r="32" spans="1:10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252</v>
      </c>
    </row>
    <row r="33" spans="1:9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48</v>
      </c>
    </row>
    <row r="34" spans="1:9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253</v>
      </c>
    </row>
    <row r="35" spans="1:9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255</v>
      </c>
    </row>
    <row r="36" spans="1:9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255</v>
      </c>
    </row>
    <row r="37" spans="1:9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253</v>
      </c>
    </row>
    <row r="38" spans="1:9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255</v>
      </c>
    </row>
    <row r="39" spans="1:9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255</v>
      </c>
    </row>
    <row r="40" spans="1:9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255</v>
      </c>
    </row>
    <row r="41" spans="1:9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255</v>
      </c>
    </row>
    <row r="42" spans="1:9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255</v>
      </c>
    </row>
    <row r="43" spans="1:9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255</v>
      </c>
    </row>
    <row r="44" spans="1:9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255</v>
      </c>
    </row>
    <row r="45" spans="1:9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255</v>
      </c>
    </row>
    <row r="46" spans="1:9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253</v>
      </c>
    </row>
    <row r="48" spans="1:9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254</v>
      </c>
    </row>
    <row r="50" spans="1:9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253</v>
      </c>
    </row>
    <row r="52" spans="1:9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254</v>
      </c>
    </row>
    <row r="53" spans="1:9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255</v>
      </c>
    </row>
    <row r="54" spans="1:9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254</v>
      </c>
    </row>
    <row r="55" spans="1:9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254</v>
      </c>
    </row>
    <row r="58" spans="1:9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254</v>
      </c>
    </row>
    <row r="60" spans="1:9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254</v>
      </c>
    </row>
    <row r="61" spans="1:9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253</v>
      </c>
    </row>
    <row r="67" spans="1:9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253</v>
      </c>
    </row>
    <row r="68" spans="1:9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253</v>
      </c>
    </row>
    <row r="69" spans="1:9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253</v>
      </c>
    </row>
    <row r="71" spans="1:9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254</v>
      </c>
    </row>
    <row r="73" spans="1:9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254</v>
      </c>
    </row>
    <row r="76" spans="1:9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253</v>
      </c>
    </row>
    <row r="77" spans="1:9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253</v>
      </c>
    </row>
    <row r="78" spans="1:9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255</v>
      </c>
    </row>
    <row r="81" spans="1:9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253</v>
      </c>
    </row>
    <row r="82" spans="1:9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255</v>
      </c>
    </row>
    <row r="86" spans="1:9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255</v>
      </c>
    </row>
    <row r="87" spans="1:9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255</v>
      </c>
    </row>
    <row r="88" spans="1:9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255</v>
      </c>
    </row>
    <row r="89" spans="1:9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/>
    <row r="97" spans="1:8" hidden="1">
      <c r="A97" s="129" t="s">
        <v>229</v>
      </c>
      <c r="B97" s="128">
        <f>+B95/5</f>
        <v>5772333.7999999998</v>
      </c>
    </row>
    <row r="98" spans="1:8">
      <c r="H98" s="126">
        <f>+D98+F98</f>
        <v>0</v>
      </c>
    </row>
    <row r="99" spans="1:8">
      <c r="H99" s="126">
        <f>+D99+F99</f>
        <v>0</v>
      </c>
    </row>
    <row r="101" spans="1:8">
      <c r="E101" s="126">
        <f>SUBTOTAL(9,E33:E100)</f>
        <v>4507126.4400000013</v>
      </c>
    </row>
    <row r="103" spans="1:8" ht="17.399999999999999">
      <c r="B103" s="130">
        <f>+B95+G95</f>
        <v>36220370.930000007</v>
      </c>
    </row>
  </sheetData>
  <autoFilter ref="A1:J95"/>
  <customSheetViews>
    <customSheetView guid="{08F29437-BBE1-46C0-B84C-12B7ABEF1718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6C0BD6A7-6718-429D-82D9-D2FE0341EA2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4"/>
      <autoFilter ref="A1:J95"/>
    </customSheetView>
  </customSheetViews>
  <pageMargins left="0" right="0" top="0" bottom="0" header="0.31496062992125984" footer="0.31496062992125984"/>
  <pageSetup paperSize="9" scale="85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opLeftCell="A7" workbookViewId="0">
      <selection activeCell="K13" sqref="K13"/>
    </sheetView>
  </sheetViews>
  <sheetFormatPr defaultRowHeight="13.2"/>
  <cols>
    <col min="2" max="2" width="25.77734375" customWidth="1"/>
    <col min="3" max="3" width="6.77734375" bestFit="1" customWidth="1"/>
    <col min="4" max="4" width="40.44140625" bestFit="1" customWidth="1"/>
    <col min="5" max="5" width="9.5546875" bestFit="1" customWidth="1"/>
    <col min="6" max="6" width="13.5546875" customWidth="1"/>
    <col min="7" max="7" width="9.77734375" bestFit="1" customWidth="1"/>
    <col min="8" max="8" width="12" bestFit="1" customWidth="1"/>
  </cols>
  <sheetData>
    <row r="6" spans="2:11">
      <c r="B6" s="155"/>
      <c r="C6" s="155"/>
      <c r="D6" s="156" t="s">
        <v>506</v>
      </c>
      <c r="E6" s="157"/>
      <c r="F6" s="157"/>
      <c r="G6" s="157"/>
      <c r="H6" s="155"/>
    </row>
    <row r="7" spans="2:11" ht="13.8" thickBot="1">
      <c r="B7" s="155"/>
      <c r="C7" s="155"/>
      <c r="D7" s="155"/>
      <c r="E7" s="155"/>
      <c r="F7" s="155"/>
      <c r="G7" s="155"/>
      <c r="H7" s="155"/>
    </row>
    <row r="8" spans="2:11" ht="53.4" thickBot="1">
      <c r="B8" s="158" t="s">
        <v>507</v>
      </c>
      <c r="C8" s="159" t="s">
        <v>508</v>
      </c>
      <c r="D8" s="160" t="s">
        <v>509</v>
      </c>
      <c r="E8" s="160" t="s">
        <v>510</v>
      </c>
      <c r="F8" s="160" t="s">
        <v>511</v>
      </c>
      <c r="G8" s="161" t="s">
        <v>512</v>
      </c>
      <c r="H8" s="155"/>
    </row>
    <row r="9" spans="2:11">
      <c r="B9" s="162" t="s">
        <v>513</v>
      </c>
      <c r="C9" s="163" t="s">
        <v>514</v>
      </c>
      <c r="D9" s="164">
        <v>211698</v>
      </c>
      <c r="E9" s="165" t="s">
        <v>515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>
      <c r="B10" s="162" t="s">
        <v>516</v>
      </c>
      <c r="C10" s="169" t="s">
        <v>517</v>
      </c>
      <c r="D10" s="164">
        <v>211699</v>
      </c>
      <c r="E10" s="165" t="s">
        <v>515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>
      <c r="B11" s="162" t="s">
        <v>516</v>
      </c>
      <c r="C11" s="163" t="s">
        <v>518</v>
      </c>
      <c r="D11" s="164">
        <v>211701</v>
      </c>
      <c r="E11" s="165" t="s">
        <v>515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>
      <c r="B12" s="162" t="s">
        <v>516</v>
      </c>
      <c r="C12" s="170" t="s">
        <v>519</v>
      </c>
      <c r="D12" s="164">
        <v>211704</v>
      </c>
      <c r="E12" s="165" t="s">
        <v>515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>
      <c r="B13" s="162" t="s">
        <v>516</v>
      </c>
      <c r="C13" s="170" t="s">
        <v>520</v>
      </c>
      <c r="D13" s="164">
        <v>211706</v>
      </c>
      <c r="E13" s="165" t="s">
        <v>515</v>
      </c>
      <c r="F13" s="166">
        <v>13362.3</v>
      </c>
      <c r="G13" s="167">
        <v>1640.98</v>
      </c>
      <c r="H13" s="168">
        <f t="shared" si="0"/>
        <v>160347.59999999998</v>
      </c>
    </row>
    <row r="14" spans="2:11">
      <c r="B14" s="162" t="s">
        <v>516</v>
      </c>
      <c r="C14" s="170" t="s">
        <v>521</v>
      </c>
      <c r="D14" s="164">
        <v>211708</v>
      </c>
      <c r="E14" s="165" t="s">
        <v>515</v>
      </c>
      <c r="F14" s="166">
        <v>14670.23</v>
      </c>
      <c r="G14" s="167">
        <v>1801.61</v>
      </c>
      <c r="H14" s="168">
        <f t="shared" si="0"/>
        <v>176042.76</v>
      </c>
    </row>
    <row r="15" spans="2:11">
      <c r="B15" s="162" t="s">
        <v>522</v>
      </c>
      <c r="C15" s="170" t="s">
        <v>523</v>
      </c>
      <c r="D15" s="164">
        <v>211722</v>
      </c>
      <c r="E15" s="165" t="s">
        <v>515</v>
      </c>
      <c r="F15" s="166">
        <v>6892.51</v>
      </c>
      <c r="G15" s="167">
        <v>846.45</v>
      </c>
      <c r="H15" s="168">
        <f t="shared" si="0"/>
        <v>82710.12</v>
      </c>
    </row>
    <row r="16" spans="2:11">
      <c r="B16" s="162" t="s">
        <v>524</v>
      </c>
      <c r="C16" s="170" t="s">
        <v>525</v>
      </c>
      <c r="D16" s="164">
        <v>211711</v>
      </c>
      <c r="E16" s="165" t="s">
        <v>515</v>
      </c>
      <c r="F16" s="166">
        <v>8221.42</v>
      </c>
      <c r="G16" s="167">
        <v>1009.65</v>
      </c>
      <c r="H16" s="168">
        <f t="shared" si="0"/>
        <v>98657.040000000008</v>
      </c>
    </row>
    <row r="17" spans="2:8">
      <c r="B17" s="162" t="s">
        <v>524</v>
      </c>
      <c r="C17" s="170" t="s">
        <v>526</v>
      </c>
      <c r="D17" s="164">
        <v>211712</v>
      </c>
      <c r="E17" s="165" t="s">
        <v>515</v>
      </c>
      <c r="F17" s="166">
        <v>10212.11</v>
      </c>
      <c r="G17" s="167">
        <v>1254.1199999999999</v>
      </c>
      <c r="H17" s="168">
        <f t="shared" si="0"/>
        <v>122545.32</v>
      </c>
    </row>
    <row r="18" spans="2:8">
      <c r="B18" s="162" t="s">
        <v>524</v>
      </c>
      <c r="C18" s="170" t="s">
        <v>527</v>
      </c>
      <c r="D18" s="164">
        <v>211716</v>
      </c>
      <c r="E18" s="165" t="s">
        <v>515</v>
      </c>
      <c r="F18" s="166">
        <v>9227.8799999999992</v>
      </c>
      <c r="G18" s="167">
        <v>1133.25</v>
      </c>
      <c r="H18" s="168">
        <f t="shared" si="0"/>
        <v>110734.56</v>
      </c>
    </row>
    <row r="19" spans="2:8">
      <c r="B19" s="171" t="s">
        <v>528</v>
      </c>
      <c r="C19" s="172" t="s">
        <v>529</v>
      </c>
      <c r="D19" s="164">
        <v>211721</v>
      </c>
      <c r="E19" s="165" t="s">
        <v>515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8" thickBot="1">
      <c r="B20" s="173"/>
      <c r="C20" s="174"/>
      <c r="D20" s="175"/>
      <c r="E20" s="176"/>
      <c r="F20" s="177"/>
      <c r="G20" s="178"/>
      <c r="H20" s="155"/>
    </row>
    <row r="24" spans="2:8" ht="13.8" thickBot="1">
      <c r="B24" s="179"/>
      <c r="C24" s="179"/>
      <c r="D24" s="179"/>
      <c r="E24" s="179"/>
      <c r="F24" s="179"/>
      <c r="G24" s="179"/>
      <c r="H24" s="179"/>
    </row>
    <row r="25" spans="2:8" ht="53.4" thickBot="1">
      <c r="B25" s="180" t="s">
        <v>507</v>
      </c>
      <c r="C25" s="181" t="s">
        <v>508</v>
      </c>
      <c r="D25" s="182" t="s">
        <v>509</v>
      </c>
      <c r="E25" s="182" t="s">
        <v>510</v>
      </c>
      <c r="F25" s="182" t="s">
        <v>511</v>
      </c>
      <c r="G25" s="183" t="s">
        <v>512</v>
      </c>
      <c r="H25" s="179"/>
    </row>
    <row r="26" spans="2:8">
      <c r="B26" s="184" t="s">
        <v>530</v>
      </c>
      <c r="C26" s="185" t="s">
        <v>531</v>
      </c>
      <c r="D26" s="186">
        <v>211689</v>
      </c>
      <c r="E26" s="187" t="s">
        <v>515</v>
      </c>
      <c r="F26" s="188">
        <v>5418.79</v>
      </c>
      <c r="G26" s="189">
        <v>665.46</v>
      </c>
      <c r="H26" s="179">
        <f>F26*12</f>
        <v>65025.479999999996</v>
      </c>
    </row>
    <row r="27" spans="2:8">
      <c r="B27" s="184" t="s">
        <v>530</v>
      </c>
      <c r="C27" s="185" t="s">
        <v>532</v>
      </c>
      <c r="D27" s="186">
        <v>211696</v>
      </c>
      <c r="E27" s="187" t="s">
        <v>515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>
      <c r="B28" s="184" t="s">
        <v>530</v>
      </c>
      <c r="C28" s="185" t="s">
        <v>533</v>
      </c>
      <c r="D28" s="186">
        <v>211702</v>
      </c>
      <c r="E28" s="187" t="s">
        <v>515</v>
      </c>
      <c r="F28" s="188">
        <v>5163.37</v>
      </c>
      <c r="G28" s="189">
        <v>634.1</v>
      </c>
      <c r="H28" s="179">
        <f t="shared" si="1"/>
        <v>61960.44</v>
      </c>
    </row>
    <row r="29" spans="2:8">
      <c r="B29" s="184" t="s">
        <v>534</v>
      </c>
      <c r="C29" s="185" t="s">
        <v>535</v>
      </c>
      <c r="D29" s="186">
        <v>211705</v>
      </c>
      <c r="E29" s="187" t="s">
        <v>515</v>
      </c>
      <c r="F29" s="188">
        <v>6998.47</v>
      </c>
      <c r="G29" s="189">
        <v>44.66</v>
      </c>
      <c r="H29" s="179">
        <f t="shared" si="1"/>
        <v>83981.64</v>
      </c>
    </row>
    <row r="30" spans="2:8">
      <c r="B30" s="184" t="s">
        <v>536</v>
      </c>
      <c r="C30" s="185" t="s">
        <v>537</v>
      </c>
      <c r="D30" s="186">
        <v>211710</v>
      </c>
      <c r="E30" s="187" t="s">
        <v>515</v>
      </c>
      <c r="F30" s="188">
        <v>2931.11</v>
      </c>
      <c r="G30" s="189">
        <v>40.42</v>
      </c>
      <c r="H30" s="179">
        <f t="shared" si="1"/>
        <v>35173.32</v>
      </c>
    </row>
    <row r="31" spans="2:8">
      <c r="B31" s="184" t="s">
        <v>538</v>
      </c>
      <c r="C31" s="185" t="s">
        <v>539</v>
      </c>
      <c r="D31" s="186">
        <v>211714</v>
      </c>
      <c r="E31" s="187" t="s">
        <v>515</v>
      </c>
      <c r="F31" s="188">
        <v>3684.87</v>
      </c>
      <c r="G31" s="189">
        <v>452.53</v>
      </c>
      <c r="H31" s="179">
        <f t="shared" si="1"/>
        <v>44218.44</v>
      </c>
    </row>
    <row r="32" spans="2:8">
      <c r="B32" s="184" t="s">
        <v>538</v>
      </c>
      <c r="C32" s="185" t="s">
        <v>540</v>
      </c>
      <c r="D32" s="186">
        <v>211718</v>
      </c>
      <c r="E32" s="187" t="s">
        <v>515</v>
      </c>
      <c r="F32" s="188">
        <v>3596.62</v>
      </c>
      <c r="G32" s="189">
        <v>441.69</v>
      </c>
      <c r="H32" s="179">
        <f t="shared" si="1"/>
        <v>43159.44</v>
      </c>
    </row>
    <row r="33" spans="2:8">
      <c r="B33" s="190" t="s">
        <v>538</v>
      </c>
      <c r="C33" s="191" t="s">
        <v>541</v>
      </c>
      <c r="D33" s="186">
        <v>211723</v>
      </c>
      <c r="E33" s="187" t="s">
        <v>515</v>
      </c>
      <c r="F33" s="188">
        <v>3437.09</v>
      </c>
      <c r="G33" s="189">
        <v>422.1</v>
      </c>
      <c r="H33" s="179">
        <f t="shared" si="1"/>
        <v>41245.08</v>
      </c>
    </row>
    <row r="34" spans="2:8" ht="13.8" thickBot="1">
      <c r="B34" s="192"/>
      <c r="C34" s="193"/>
      <c r="D34" s="194"/>
      <c r="E34" s="195"/>
      <c r="F34" s="196"/>
      <c r="G34" s="197"/>
      <c r="H34" s="179"/>
    </row>
    <row r="35" spans="2:8">
      <c r="B35" s="198"/>
      <c r="C35" s="198"/>
      <c r="D35" s="199"/>
      <c r="E35" s="200"/>
      <c r="F35" s="198"/>
      <c r="G35" s="198"/>
      <c r="H35" s="201"/>
    </row>
  </sheetData>
  <customSheetViews>
    <customSheetView guid="{08F29437-BBE1-46C0-B84C-12B7ABEF1718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6C0BD6A7-6718-429D-82D9-D2FE0341EA2C}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3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21875" defaultRowHeight="13.2"/>
  <cols>
    <col min="1" max="1" width="5.44140625" style="403" bestFit="1" customWidth="1"/>
    <col min="2" max="2" width="16" style="400" customWidth="1"/>
    <col min="3" max="3" width="7" style="400" bestFit="1" customWidth="1"/>
    <col min="4" max="4" width="11.21875" style="404" bestFit="1" customWidth="1"/>
    <col min="5" max="5" width="12" style="404" bestFit="1" customWidth="1"/>
    <col min="6" max="6" width="13.77734375" style="400" bestFit="1" customWidth="1"/>
    <col min="7" max="16384" width="9.21875" style="400"/>
  </cols>
  <sheetData>
    <row r="1" spans="1:5">
      <c r="A1" s="408" t="s">
        <v>1492</v>
      </c>
      <c r="B1" s="401" t="s">
        <v>1493</v>
      </c>
      <c r="C1" s="401" t="s">
        <v>1494</v>
      </c>
      <c r="D1" s="402" t="s">
        <v>291</v>
      </c>
    </row>
    <row r="2" spans="1: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>
      <c r="A4" s="409" t="s">
        <v>303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>
      <c r="A5" s="409" t="s">
        <v>303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>
      <c r="A6" s="409" t="s">
        <v>307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>
      <c r="A7" s="409" t="s">
        <v>307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>
      <c r="A8" s="409" t="s">
        <v>309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>
      <c r="A9" s="409" t="s">
        <v>309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>
      <c r="A10" s="409" t="s">
        <v>311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>
      <c r="A11" s="409" t="s">
        <v>311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>
      <c r="A12" s="409" t="s">
        <v>326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>
      <c r="A13" s="409" t="s">
        <v>326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>
      <c r="A14" s="409" t="s">
        <v>403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>
      <c r="A15" s="409" t="s">
        <v>403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>
      <c r="A16" s="409" t="s">
        <v>316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>
      <c r="A17" s="409" t="s">
        <v>316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>
      <c r="A18" s="409" t="s">
        <v>319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>
      <c r="A19" s="409" t="s">
        <v>319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>
      <c r="A20" s="409" t="s">
        <v>320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>
      <c r="A21" s="409" t="s">
        <v>320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>
      <c r="A22" s="409" t="s">
        <v>322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>
      <c r="A23" s="409" t="s">
        <v>322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>
      <c r="A24" s="409" t="s">
        <v>324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>
      <c r="A25" s="409" t="s">
        <v>324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>
      <c r="A26" s="409" t="s">
        <v>325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>
      <c r="A27" s="409" t="s">
        <v>325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>
      <c r="A28" s="409" t="s">
        <v>328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>
      <c r="A29" s="409" t="s">
        <v>328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>
      <c r="A30" s="409" t="s">
        <v>386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>
      <c r="A31" s="409" t="s">
        <v>386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>
      <c r="A32" s="409" t="s">
        <v>388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>
      <c r="A33" s="409" t="s">
        <v>388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>
      <c r="A34" s="409" t="s">
        <v>390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>
      <c r="A35" s="409" t="s">
        <v>390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>
      <c r="A36" s="409" t="s">
        <v>392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>
      <c r="A37" s="409" t="s">
        <v>392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>
      <c r="A38" s="409" t="s">
        <v>405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>
      <c r="A39" s="409" t="s">
        <v>405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>
      <c r="A40" s="409" t="s">
        <v>407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>
      <c r="A41" s="409" t="s">
        <v>407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>
      <c r="A42" s="409" t="s">
        <v>409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>
      <c r="A43" s="409" t="s">
        <v>409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>
      <c r="A44" s="409" t="s">
        <v>411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>
      <c r="A45" s="409" t="s">
        <v>411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>
      <c r="A46" s="409" t="s">
        <v>419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>
      <c r="A47" s="409" t="s">
        <v>419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>
      <c r="A48" s="409" t="s">
        <v>421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>
      <c r="A49" s="409" t="s">
        <v>421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>
      <c r="A50" s="409" t="s">
        <v>423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>
      <c r="A51" s="409" t="s">
        <v>423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>
      <c r="A52" s="409" t="s">
        <v>425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>
      <c r="A53" s="409" t="s">
        <v>425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>
      <c r="A54" s="409" t="s">
        <v>427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>
      <c r="A55" s="409" t="s">
        <v>427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>
      <c r="A56" s="409" t="s">
        <v>330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>
      <c r="A57" s="409" t="s">
        <v>330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>
      <c r="A58" s="409" t="s">
        <v>260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>
      <c r="A59" s="409" t="s">
        <v>260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>
      <c r="A60" s="409" t="s">
        <v>261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>
      <c r="A61" s="409" t="s">
        <v>261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>
      <c r="A62" s="409" t="s">
        <v>262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>
      <c r="A63" s="409" t="s">
        <v>262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>
      <c r="A64" s="409" t="s">
        <v>263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>
      <c r="A65" s="409" t="s">
        <v>263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>
      <c r="A66" s="409" t="s">
        <v>264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>
      <c r="A67" s="409" t="s">
        <v>264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>
      <c r="A68" s="409" t="s">
        <v>265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>
      <c r="A69" s="409" t="s">
        <v>265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>
      <c r="A70" s="409" t="s">
        <v>266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>
      <c r="A71" s="409" t="s">
        <v>266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>
      <c r="A72" s="409" t="s">
        <v>267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>
      <c r="A73" s="409" t="s">
        <v>267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>
      <c r="A74" s="409" t="s">
        <v>268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>
      <c r="A75" s="409" t="s">
        <v>268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>
      <c r="A76" s="409" t="s">
        <v>269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>
      <c r="A77" s="409" t="s">
        <v>269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>
      <c r="A78" s="409" t="s">
        <v>270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>
      <c r="A79" s="409" t="s">
        <v>270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>
      <c r="A80" s="409" t="s">
        <v>271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>
      <c r="A81" s="409" t="s">
        <v>271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>
      <c r="A82" s="409" t="s">
        <v>272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>
      <c r="A83" s="409" t="s">
        <v>272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>
      <c r="A84" s="409" t="s">
        <v>313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>
      <c r="A85" s="409" t="s">
        <v>313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>
      <c r="A86" s="409" t="s">
        <v>327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>
      <c r="A87" s="409" t="s">
        <v>327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>
      <c r="A88" s="409" t="s">
        <v>347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>
      <c r="A89" s="409" t="s">
        <v>347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>
      <c r="A90" s="409" t="s">
        <v>394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>
      <c r="A91" s="409" t="s">
        <v>394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>
      <c r="A92" s="409" t="s">
        <v>396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>
      <c r="A93" s="409" t="s">
        <v>396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>
      <c r="A94" s="409" t="s">
        <v>397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>
      <c r="A95" s="409" t="s">
        <v>397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>
      <c r="A96" s="409" t="s">
        <v>348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>
      <c r="A97" s="409" t="s">
        <v>348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>
      <c r="A98" s="409" t="s">
        <v>334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>
      <c r="A99" s="409" t="s">
        <v>334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>
      <c r="A100" s="409" t="s">
        <v>337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>
      <c r="A101" s="409" t="s">
        <v>337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>
      <c r="A102" s="409" t="s">
        <v>399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>
      <c r="A103" s="409" t="s">
        <v>399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>
      <c r="A104" s="409" t="s">
        <v>401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>
      <c r="A105" s="409" t="s">
        <v>401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>
      <c r="A106" s="409" t="s">
        <v>436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>
      <c r="A107" s="409" t="s">
        <v>436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>
      <c r="A108" s="409" t="s">
        <v>438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>
      <c r="A109" s="409" t="s">
        <v>438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>
      <c r="A110" s="409" t="s">
        <v>440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>
      <c r="A111" s="409" t="s">
        <v>440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>
      <c r="A112" s="409" t="s">
        <v>339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>
      <c r="A113" s="409" t="s">
        <v>339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>
      <c r="A114" s="409" t="s">
        <v>341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>
      <c r="A115" s="409" t="s">
        <v>341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>
      <c r="A116" s="409" t="s">
        <v>342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>
      <c r="A117" s="409" t="s">
        <v>342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>
      <c r="A118" s="409" t="s">
        <v>274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>
      <c r="A119" s="409" t="s">
        <v>274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>
      <c r="A120" s="409" t="s">
        <v>353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>
      <c r="A121" s="409" t="s">
        <v>353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>
      <c r="A122" s="409" t="s">
        <v>275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>
      <c r="A123" s="409" t="s">
        <v>275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>
      <c r="A124" s="409" t="s">
        <v>276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>
      <c r="A125" s="409" t="s">
        <v>276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>
      <c r="A126" s="409" t="s">
        <v>277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>
      <c r="A127" s="409" t="s">
        <v>277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>
      <c r="A128" s="409" t="s">
        <v>364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>
      <c r="A129" s="409" t="s">
        <v>364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>
      <c r="A130" s="409" t="s">
        <v>366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>
      <c r="A131" s="409" t="s">
        <v>366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>
      <c r="A132" s="410" t="s">
        <v>368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>
      <c r="A133" s="410" t="s">
        <v>368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>
      <c r="A134" s="409" t="s">
        <v>370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>
      <c r="A135" s="409" t="s">
        <v>370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>
      <c r="A136" s="409" t="s">
        <v>378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>
      <c r="A137" s="409" t="s">
        <v>378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>
      <c r="A138" s="409" t="s">
        <v>384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>
      <c r="A139" s="409" t="s">
        <v>384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>
      <c r="A140" s="409" t="s">
        <v>446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>
      <c r="A141" s="409" t="s">
        <v>446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>
      <c r="A142" s="409" t="s">
        <v>447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>
      <c r="A143" s="409" t="s">
        <v>447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>
      <c r="A144" s="409" t="s">
        <v>448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>
      <c r="A145" s="409" t="s">
        <v>448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>
      <c r="A146" s="409" t="s">
        <v>375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>
      <c r="A147" s="409" t="s">
        <v>375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>
      <c r="A148" s="409" t="s">
        <v>278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>
      <c r="A149" s="409" t="s">
        <v>278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>
      <c r="A150" s="409" t="s">
        <v>279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>
      <c r="A151" s="409" t="s">
        <v>279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>
      <c r="A158" s="409" t="s">
        <v>381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>
      <c r="A159" s="409" t="s">
        <v>381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>
      <c r="A160" s="410" t="s">
        <v>442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>
      <c r="A161" s="410" t="s">
        <v>442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>
      <c r="A162" s="409" t="s">
        <v>444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>
      <c r="A163" s="409" t="s">
        <v>444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>
      <c r="A164" s="409" t="s">
        <v>281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>
      <c r="A165" s="409" t="s">
        <v>281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>
      <c r="A166" s="409" t="s">
        <v>282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>
      <c r="A167" s="409" t="s">
        <v>282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08F29437-BBE1-46C0-B84C-12B7ABEF1718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6C0BD6A7-6718-429D-82D9-D2FE0341EA2C}" showAutoFilter="1">
      <selection activeCell="C1" sqref="C1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3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4"/>
      <autoFilter ref="A1:G199"/>
    </customSheetView>
  </customSheetViews>
  <pageMargins left="0.7" right="0.7" top="0.75" bottom="0.75" header="0.3" footer="0.3"/>
  <pageSetup paperSize="9" orientation="portrait" horizontalDpi="300" verticalDpi="300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3.2"/>
  <sheetData/>
  <customSheetViews>
    <customSheetView guid="{08F29437-BBE1-46C0-B84C-12B7ABEF1718}">
      <pageMargins left="0.7" right="0.7" top="0.75" bottom="0.75" header="0.3" footer="0.3"/>
      <pageSetup paperSize="9" orientation="portrait" r:id="rId1"/>
    </customSheetView>
    <customSheetView guid="{6C0BD6A7-6718-429D-82D9-D2FE0341EA2C}">
      <pageMargins left="0.7" right="0.7" top="0.75" bottom="0.75" header="0.3" footer="0.3"/>
      <pageSetup paperSize="9" orientation="portrait" r:id="rId2"/>
    </customSheetView>
    <customSheetView guid="{594C4AB0-8D5F-4373-9663-410F4413FE3A}" showPageBreaks="1">
      <pageMargins left="0.7" right="0.7" top="0.75" bottom="0.75" header="0.3" footer="0.3"/>
      <pageSetup paperSize="9" orientation="portrait" r:id="rId3"/>
    </customSheetView>
    <customSheetView guid="{DF69299D-7752-4436-A45D-28F739CEE21B}"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0" sqref="K10"/>
    </sheetView>
  </sheetViews>
  <sheetFormatPr defaultColWidth="9.21875" defaultRowHeight="10.199999999999999"/>
  <cols>
    <col min="1" max="1" width="20.77734375" style="2" customWidth="1"/>
    <col min="2" max="2" width="9.21875" style="2" bestFit="1" customWidth="1"/>
    <col min="3" max="3" width="3.77734375" style="6" bestFit="1" customWidth="1"/>
    <col min="4" max="4" width="7.77734375" style="17" bestFit="1" customWidth="1"/>
    <col min="5" max="5" width="11.21875" style="2" bestFit="1" customWidth="1"/>
    <col min="6" max="6" width="15.77734375" style="2" customWidth="1"/>
    <col min="7" max="7" width="10.21875" style="2" bestFit="1" customWidth="1"/>
    <col min="8" max="8" width="10.44140625" style="2" bestFit="1" customWidth="1"/>
    <col min="9" max="9" width="11.5546875" style="2" customWidth="1"/>
    <col min="10" max="10" width="15.77734375" style="2" customWidth="1"/>
    <col min="11" max="11" width="10.21875" style="2" bestFit="1" customWidth="1"/>
    <col min="12" max="12" width="10.44140625" style="2" bestFit="1" customWidth="1"/>
    <col min="13" max="13" width="11.21875" style="2" bestFit="1" customWidth="1"/>
    <col min="14" max="14" width="10.21875" style="2" bestFit="1" customWidth="1"/>
    <col min="15" max="15" width="11.21875" style="2" bestFit="1" customWidth="1"/>
    <col min="16" max="16" width="8.21875" style="15" hidden="1" customWidth="1"/>
    <col min="17" max="17" width="7" style="29" bestFit="1" customWidth="1"/>
    <col min="18" max="16384" width="9.21875" style="2"/>
  </cols>
  <sheetData>
    <row r="1" spans="1:20">
      <c r="A1" s="18" t="s">
        <v>1510</v>
      </c>
      <c r="D1" s="17" t="s">
        <v>596</v>
      </c>
    </row>
    <row r="3" spans="1:20" s="18" customFormat="1" ht="33" customHeight="1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177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0.8" thickBot="1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0.8" thickBot="1">
      <c r="A7" s="330" t="s">
        <v>10</v>
      </c>
      <c r="B7" s="331" t="s">
        <v>481</v>
      </c>
      <c r="D7" s="568" t="s">
        <v>672</v>
      </c>
      <c r="E7" s="569"/>
      <c r="F7" s="570"/>
    </row>
    <row r="8" spans="1:20">
      <c r="Q8" s="21"/>
    </row>
    <row r="9" spans="1:20" s="9" customFormat="1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217691.15442278865</v>
      </c>
      <c r="F9" s="37">
        <v>3000</v>
      </c>
      <c r="G9" s="37">
        <f>5482*(1+CALC!$A$2)</f>
        <v>4248.55</v>
      </c>
      <c r="H9" s="37">
        <v>35000</v>
      </c>
      <c r="I9" s="37">
        <f>11166.61</f>
        <v>11166.61</v>
      </c>
      <c r="J9" s="37"/>
      <c r="K9" s="37">
        <v>960</v>
      </c>
      <c r="L9" s="37"/>
      <c r="M9" s="37">
        <f>SUM(E9:L9)</f>
        <v>272066.31442278862</v>
      </c>
      <c r="N9" s="32">
        <f>M9/CALC!$A$8*CALC!$A$6</f>
        <v>8838.184746556939</v>
      </c>
      <c r="O9" s="37">
        <f>+M9+N9</f>
        <v>280904.49916934554</v>
      </c>
      <c r="P9" s="48">
        <v>6.67</v>
      </c>
      <c r="Q9" s="49"/>
      <c r="R9" s="25"/>
      <c r="S9" s="25"/>
      <c r="T9" s="25"/>
    </row>
    <row r="10" spans="1:20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217691.15442278865</v>
      </c>
      <c r="F12" s="14">
        <f t="shared" si="0"/>
        <v>3000</v>
      </c>
      <c r="G12" s="14">
        <f t="shared" si="0"/>
        <v>4248.55</v>
      </c>
      <c r="H12" s="14">
        <f t="shared" si="0"/>
        <v>35000</v>
      </c>
      <c r="I12" s="14">
        <f>+I9</f>
        <v>11166.61</v>
      </c>
      <c r="J12" s="14">
        <f t="shared" si="0"/>
        <v>0</v>
      </c>
      <c r="K12" s="14">
        <f t="shared" si="0"/>
        <v>960</v>
      </c>
      <c r="L12" s="14"/>
      <c r="M12" s="14">
        <f t="shared" si="0"/>
        <v>272066.31442278862</v>
      </c>
      <c r="N12" s="14">
        <f>M12/CALC!$A$8*CALC!$A$6</f>
        <v>8838.184746556939</v>
      </c>
      <c r="O12" s="14">
        <f>+M12+N12</f>
        <v>280904.49916934554</v>
      </c>
      <c r="P12" s="33"/>
      <c r="Q12" s="135">
        <f>(+O12/D12)*(1+CALC!$A$3)</f>
        <v>4.681741652822426</v>
      </c>
    </row>
    <row r="13" spans="1:20">
      <c r="Q13" s="21"/>
    </row>
    <row r="14" spans="1:20" ht="10.8" thickBot="1">
      <c r="Q14" s="21"/>
    </row>
    <row r="15" spans="1:20" ht="10.8" thickBot="1">
      <c r="B15" s="101" t="s">
        <v>14</v>
      </c>
      <c r="C15" s="102"/>
      <c r="D15" s="103">
        <f>+D16</f>
        <v>60000</v>
      </c>
      <c r="E15" s="358">
        <f>+E16</f>
        <v>217691.15442278865</v>
      </c>
      <c r="F15" s="358">
        <f>+F16</f>
        <v>3000</v>
      </c>
      <c r="G15" s="358">
        <f>+G16</f>
        <v>4248.55</v>
      </c>
      <c r="H15" s="358">
        <f t="shared" ref="H15:O15" si="1">+H16</f>
        <v>35000</v>
      </c>
      <c r="I15" s="358">
        <f t="shared" si="1"/>
        <v>11166.61</v>
      </c>
      <c r="J15" s="358">
        <f t="shared" si="1"/>
        <v>0</v>
      </c>
      <c r="K15" s="358">
        <f t="shared" si="1"/>
        <v>960</v>
      </c>
      <c r="L15" s="104">
        <f t="shared" si="1"/>
        <v>0</v>
      </c>
      <c r="M15" s="104">
        <f t="shared" si="1"/>
        <v>272066.31442278862</v>
      </c>
      <c r="N15" s="104">
        <f t="shared" si="1"/>
        <v>8838.184746556939</v>
      </c>
      <c r="O15" s="104">
        <f t="shared" si="1"/>
        <v>280904.49916934554</v>
      </c>
    </row>
    <row r="16" spans="1:20" s="18" customFormat="1" ht="10.8" thickBot="1">
      <c r="A16" s="42" t="s">
        <v>196</v>
      </c>
      <c r="B16" s="73" t="s">
        <v>14</v>
      </c>
      <c r="C16" s="74"/>
      <c r="D16" s="99">
        <f t="shared" ref="D16:J16" si="2">+D12</f>
        <v>60000</v>
      </c>
      <c r="E16" s="359">
        <f t="shared" si="2"/>
        <v>217691.15442278865</v>
      </c>
      <c r="F16" s="359">
        <f t="shared" si="2"/>
        <v>3000</v>
      </c>
      <c r="G16" s="359">
        <f t="shared" si="2"/>
        <v>4248.55</v>
      </c>
      <c r="H16" s="359">
        <f t="shared" si="2"/>
        <v>35000</v>
      </c>
      <c r="I16" s="359">
        <f t="shared" si="2"/>
        <v>11166.61</v>
      </c>
      <c r="J16" s="359">
        <f t="shared" si="2"/>
        <v>0</v>
      </c>
      <c r="K16" s="359">
        <f t="shared" ref="K16:O16" si="3">+K12</f>
        <v>960</v>
      </c>
      <c r="L16" s="100">
        <f t="shared" si="3"/>
        <v>0</v>
      </c>
      <c r="M16" s="100">
        <f t="shared" si="3"/>
        <v>272066.31442278862</v>
      </c>
      <c r="N16" s="100">
        <f t="shared" si="3"/>
        <v>8838.184746556939</v>
      </c>
      <c r="O16" s="100">
        <f t="shared" si="3"/>
        <v>280904.49916934554</v>
      </c>
      <c r="P16" s="43"/>
      <c r="Q16" s="43"/>
    </row>
    <row r="18" spans="4:15">
      <c r="D18" s="17">
        <f>+D12</f>
        <v>60000</v>
      </c>
      <c r="E18" s="17">
        <f t="shared" ref="E18:O18" si="4">+E12</f>
        <v>217691.15442278865</v>
      </c>
      <c r="F18" s="17">
        <f t="shared" si="4"/>
        <v>3000</v>
      </c>
      <c r="G18" s="17">
        <f t="shared" si="4"/>
        <v>4248.55</v>
      </c>
      <c r="H18" s="17">
        <f t="shared" si="4"/>
        <v>35000</v>
      </c>
      <c r="I18" s="17">
        <f t="shared" si="4"/>
        <v>11166.61</v>
      </c>
      <c r="J18" s="17">
        <f t="shared" si="4"/>
        <v>0</v>
      </c>
      <c r="K18" s="17">
        <f t="shared" si="4"/>
        <v>960</v>
      </c>
      <c r="L18" s="17">
        <f t="shared" si="4"/>
        <v>0</v>
      </c>
      <c r="M18" s="17">
        <f t="shared" si="4"/>
        <v>272066.31442278862</v>
      </c>
      <c r="N18" s="17">
        <f t="shared" si="4"/>
        <v>8838.184746556939</v>
      </c>
      <c r="O18" s="17">
        <f t="shared" si="4"/>
        <v>280904.49916934554</v>
      </c>
    </row>
    <row r="23" spans="4:15">
      <c r="F23" s="58"/>
      <c r="G23" s="58"/>
    </row>
    <row r="26" spans="4:15">
      <c r="F26" s="15"/>
      <c r="G26" s="15"/>
    </row>
    <row r="122" spans="6:6">
      <c r="F122" s="2">
        <f>SUM(F113:F121)</f>
        <v>0</v>
      </c>
    </row>
  </sheetData>
  <customSheetViews>
    <customSheetView guid="{08F29437-BBE1-46C0-B84C-12B7ABEF1718}" showPageBreaks="1" printArea="1" hiddenColumns="1" view="pageBreakPreview">
      <pane xSplit="3" ySplit="3" topLeftCell="D4" activePane="bottomRight" state="frozen"/>
      <selection pane="bottomRight" activeCell="K10" sqref="K10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0" sqref="H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0" sqref="K10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" sqref="K1"/>
    </sheetView>
  </sheetViews>
  <sheetFormatPr defaultColWidth="9.21875" defaultRowHeight="10.199999999999999"/>
  <cols>
    <col min="1" max="1" width="16.21875" style="2" customWidth="1"/>
    <col min="2" max="2" width="11.21875" style="2" bestFit="1" customWidth="1"/>
    <col min="3" max="3" width="4.44140625" style="6" bestFit="1" customWidth="1"/>
    <col min="4" max="4" width="7.77734375" style="17" bestFit="1" customWidth="1"/>
    <col min="5" max="5" width="11.21875" style="2" bestFit="1" customWidth="1"/>
    <col min="6" max="6" width="15.77734375" style="2" customWidth="1"/>
    <col min="7" max="9" width="11.21875" style="2" bestFit="1" customWidth="1"/>
    <col min="10" max="10" width="15.77734375" style="2" hidden="1" customWidth="1"/>
    <col min="11" max="11" width="11.21875" style="2" customWidth="1"/>
    <col min="12" max="12" width="10.44140625" style="2" bestFit="1" customWidth="1"/>
    <col min="13" max="14" width="11.21875" style="2" bestFit="1" customWidth="1"/>
    <col min="15" max="15" width="11.21875" style="2" customWidth="1"/>
    <col min="16" max="16" width="8.21875" style="15" hidden="1" customWidth="1"/>
    <col min="17" max="17" width="7.77734375" style="29" customWidth="1"/>
    <col min="18" max="19" width="10" style="2" customWidth="1"/>
    <col min="20" max="16384" width="9.21875" style="2"/>
  </cols>
  <sheetData>
    <row r="1" spans="1:20">
      <c r="A1" s="18" t="s">
        <v>1510</v>
      </c>
      <c r="D1" s="17" t="s">
        <v>101</v>
      </c>
    </row>
    <row r="3" spans="1:20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187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180</v>
      </c>
      <c r="K3" s="343" t="s">
        <v>181</v>
      </c>
      <c r="L3" s="344" t="str">
        <f>+income!L3</f>
        <v>INTEREST</v>
      </c>
      <c r="M3" s="345" t="s">
        <v>12</v>
      </c>
      <c r="N3" s="343" t="s">
        <v>188</v>
      </c>
      <c r="O3" s="343" t="s">
        <v>182</v>
      </c>
      <c r="P3" s="346" t="s">
        <v>85</v>
      </c>
      <c r="Q3" s="347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0.8" thickBot="1"/>
    <row r="6" spans="1:20" ht="10.8" thickBot="1">
      <c r="A6" s="330" t="s">
        <v>10</v>
      </c>
      <c r="B6" s="331" t="s">
        <v>475</v>
      </c>
      <c r="D6" s="568" t="s">
        <v>672</v>
      </c>
      <c r="E6" s="569"/>
      <c r="F6" s="570"/>
      <c r="Q6" s="21"/>
    </row>
    <row r="7" spans="1:20">
      <c r="Q7" s="21"/>
    </row>
    <row r="8" spans="1:20" s="9" customFormat="1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27500</v>
      </c>
      <c r="F8" s="37">
        <v>3000</v>
      </c>
      <c r="G8" s="37">
        <f>5500*(1+CALC!$A$2)</f>
        <v>4262.5</v>
      </c>
      <c r="H8" s="37">
        <v>35000</v>
      </c>
      <c r="I8" s="37">
        <f>15393.84</f>
        <v>15393.84</v>
      </c>
      <c r="J8" s="37"/>
      <c r="K8" s="37">
        <v>960</v>
      </c>
      <c r="L8" s="37"/>
      <c r="M8" s="37">
        <f>SUM(E8:L8)</f>
        <v>86116.34</v>
      </c>
      <c r="N8" s="37">
        <f>M8/CALC!$A$8*CALC!$A$6</f>
        <v>2797.5242882680054</v>
      </c>
      <c r="O8" s="37">
        <f>+M8+N8</f>
        <v>88913.864288268</v>
      </c>
      <c r="P8" s="48">
        <v>6.3</v>
      </c>
      <c r="Q8" s="49"/>
    </row>
    <row r="9" spans="1:20" s="9" customFormat="1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32983.508245877063</v>
      </c>
      <c r="F9" s="37">
        <v>3000</v>
      </c>
      <c r="G9" s="37">
        <f>5500*(1+CALC!$A$2)</f>
        <v>4262.5</v>
      </c>
      <c r="H9" s="37">
        <v>35000</v>
      </c>
      <c r="I9" s="567">
        <v>15393.84</v>
      </c>
      <c r="J9" s="37"/>
      <c r="K9" s="37">
        <v>960</v>
      </c>
      <c r="L9" s="37"/>
      <c r="M9" s="37">
        <f>SUM(E9:L9)</f>
        <v>91599.84824587706</v>
      </c>
      <c r="N9" s="32">
        <f>M9/CALC!$A$8*CALC!$A$6</f>
        <v>2975.6582812217116</v>
      </c>
      <c r="O9" s="37">
        <f>+M9+N9</f>
        <v>94575.506527098769</v>
      </c>
      <c r="P9" s="48">
        <v>6.67</v>
      </c>
      <c r="Q9" s="49"/>
      <c r="R9" s="25"/>
      <c r="S9" s="25"/>
      <c r="T9" s="25"/>
    </row>
    <row r="10" spans="1:20" s="9" customFormat="1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16491.754122938532</v>
      </c>
      <c r="F10" s="37">
        <v>3000</v>
      </c>
      <c r="G10" s="37">
        <f>5500*(1+CALC!$A$2)</f>
        <v>4262.5</v>
      </c>
      <c r="H10" s="37">
        <v>35000</v>
      </c>
      <c r="I10" s="37">
        <f>15409.95</f>
        <v>15409.95</v>
      </c>
      <c r="J10" s="37"/>
      <c r="K10" s="37">
        <v>960</v>
      </c>
      <c r="L10" s="37"/>
      <c r="M10" s="37">
        <f t="shared" ref="M10" si="0">SUM(E10:L10)</f>
        <v>75124.204122938536</v>
      </c>
      <c r="N10" s="37">
        <f>M10/CALC!$A$8*CALC!$A$6</f>
        <v>2440.4402889245407</v>
      </c>
      <c r="O10" s="37">
        <f t="shared" ref="O10" si="1">+M10+N10</f>
        <v>77564.644411863075</v>
      </c>
      <c r="P10" s="48">
        <v>6.67</v>
      </c>
      <c r="Q10" s="49"/>
    </row>
    <row r="11" spans="1:20" s="18" customFormat="1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76975.262368815602</v>
      </c>
      <c r="F11" s="14">
        <f t="shared" si="2"/>
        <v>9000</v>
      </c>
      <c r="G11" s="14">
        <f t="shared" si="2"/>
        <v>12787.5</v>
      </c>
      <c r="H11" s="14">
        <f t="shared" si="2"/>
        <v>105000</v>
      </c>
      <c r="I11" s="14">
        <f t="shared" si="2"/>
        <v>46197.630000000005</v>
      </c>
      <c r="J11" s="32">
        <f t="shared" si="2"/>
        <v>0</v>
      </c>
      <c r="K11" s="14">
        <f>SUM(K8:K10)</f>
        <v>2880</v>
      </c>
      <c r="L11" s="14">
        <f>SUM(L8:L10)</f>
        <v>0</v>
      </c>
      <c r="M11" s="14">
        <f t="shared" si="2"/>
        <v>252840.39236881558</v>
      </c>
      <c r="N11" s="14">
        <f>M11/CALC!$A$8*CALC!$A$6</f>
        <v>8213.6228584142573</v>
      </c>
      <c r="O11" s="14">
        <f>+M11+N11</f>
        <v>261054.01522722983</v>
      </c>
      <c r="P11" s="33"/>
      <c r="Q11" s="135">
        <f>(+O11/D11)*(1+CALC!$A$3)</f>
        <v>12.256057052921589</v>
      </c>
    </row>
    <row r="12" spans="1:20" ht="10.8" thickBot="1">
      <c r="Q12" s="21"/>
    </row>
    <row r="13" spans="1:20" ht="10.8" thickBot="1">
      <c r="A13" s="330" t="s">
        <v>10</v>
      </c>
      <c r="B13" s="331" t="s">
        <v>476</v>
      </c>
      <c r="D13" s="568" t="s">
        <v>247</v>
      </c>
      <c r="E13" s="569"/>
      <c r="F13" s="570"/>
      <c r="Q13" s="21"/>
    </row>
    <row r="14" spans="1:20">
      <c r="Q14" s="21"/>
    </row>
    <row r="15" spans="1:20" s="9" customFormat="1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33502.538071065988</v>
      </c>
      <c r="F15" s="37">
        <v>3000</v>
      </c>
      <c r="G15" s="37">
        <f>5500*(1+CALC!$A$2)</f>
        <v>4262.5</v>
      </c>
      <c r="H15" s="37">
        <v>40000</v>
      </c>
      <c r="I15" s="37">
        <f>21598.32</f>
        <v>21598.32</v>
      </c>
      <c r="J15" s="37"/>
      <c r="K15" s="37">
        <v>1200</v>
      </c>
      <c r="L15" s="37"/>
      <c r="M15" s="37">
        <f>SUM(E15:L15)</f>
        <v>103563.358071066</v>
      </c>
      <c r="N15" s="32">
        <f>M15/CALC!$A$8*CALC!$A$6</f>
        <v>3364.2977578750269</v>
      </c>
      <c r="O15" s="37">
        <f>+M15+N15</f>
        <v>106927.65582894103</v>
      </c>
      <c r="P15" s="48">
        <v>7.88</v>
      </c>
      <c r="Q15" s="49"/>
    </row>
    <row r="16" spans="1:20" s="18" customFormat="1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33502.538071065988</v>
      </c>
      <c r="F16" s="14">
        <f t="shared" si="3"/>
        <v>3000</v>
      </c>
      <c r="G16" s="14">
        <f t="shared" si="3"/>
        <v>4262.5</v>
      </c>
      <c r="H16" s="14">
        <f t="shared" si="3"/>
        <v>40000</v>
      </c>
      <c r="I16" s="14">
        <f t="shared" si="3"/>
        <v>21598.32</v>
      </c>
      <c r="J16" s="14">
        <f t="shared" si="3"/>
        <v>0</v>
      </c>
      <c r="K16" s="14">
        <f t="shared" si="3"/>
        <v>1200</v>
      </c>
      <c r="L16" s="14">
        <f t="shared" si="3"/>
        <v>0</v>
      </c>
      <c r="M16" s="14">
        <f t="shared" si="3"/>
        <v>103563.358071066</v>
      </c>
      <c r="N16" s="14">
        <f>M16/CALC!$A$8*CALC!$A$6</f>
        <v>3364.2977578750269</v>
      </c>
      <c r="O16" s="14">
        <f>+M16+N16</f>
        <v>106927.65582894103</v>
      </c>
      <c r="P16" s="33"/>
      <c r="Q16" s="135">
        <f>(+O16/D16)*(1+CALC!$A$3)</f>
        <v>10.692765582894102</v>
      </c>
    </row>
    <row r="17" spans="1:18">
      <c r="Q17" s="21"/>
    </row>
    <row r="18" spans="1:18" ht="10.8" thickBot="1">
      <c r="Q18" s="21"/>
    </row>
    <row r="19" spans="1:18" s="18" customFormat="1" ht="10.8" thickBot="1">
      <c r="A19" s="42" t="s">
        <v>103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110477.8004398816</v>
      </c>
      <c r="F19" s="76">
        <f t="shared" si="4"/>
        <v>12000</v>
      </c>
      <c r="G19" s="76">
        <f t="shared" si="4"/>
        <v>17050</v>
      </c>
      <c r="H19" s="76">
        <f t="shared" si="4"/>
        <v>145000</v>
      </c>
      <c r="I19" s="76">
        <f t="shared" si="4"/>
        <v>67795.950000000012</v>
      </c>
      <c r="J19" s="76">
        <f t="shared" si="4"/>
        <v>0</v>
      </c>
      <c r="K19" s="76">
        <f t="shared" si="4"/>
        <v>4080</v>
      </c>
      <c r="L19" s="76">
        <f t="shared" si="4"/>
        <v>0</v>
      </c>
      <c r="M19" s="76">
        <f t="shared" si="4"/>
        <v>356403.75043988158</v>
      </c>
      <c r="N19" s="76">
        <f t="shared" si="4"/>
        <v>11577.920616289284</v>
      </c>
      <c r="O19" s="77">
        <f t="shared" si="4"/>
        <v>367981.67105617083</v>
      </c>
      <c r="P19" s="43"/>
      <c r="Q19" s="43"/>
    </row>
    <row r="22" spans="1:18">
      <c r="D22" s="17">
        <f t="shared" ref="D22:O22" si="5">+D11+D16</f>
        <v>31300</v>
      </c>
      <c r="E22" s="17">
        <f t="shared" si="5"/>
        <v>110477.8004398816</v>
      </c>
      <c r="F22" s="17">
        <f t="shared" si="5"/>
        <v>12000</v>
      </c>
      <c r="G22" s="17">
        <f t="shared" si="5"/>
        <v>17050</v>
      </c>
      <c r="H22" s="17">
        <f t="shared" si="5"/>
        <v>145000</v>
      </c>
      <c r="I22" s="17">
        <f t="shared" si="5"/>
        <v>67795.950000000012</v>
      </c>
      <c r="J22" s="17">
        <f t="shared" si="5"/>
        <v>0</v>
      </c>
      <c r="K22" s="17">
        <f t="shared" si="5"/>
        <v>4080</v>
      </c>
      <c r="L22" s="17">
        <f t="shared" si="5"/>
        <v>0</v>
      </c>
      <c r="M22" s="17">
        <f t="shared" si="5"/>
        <v>356403.75043988158</v>
      </c>
      <c r="N22" s="17">
        <f t="shared" si="5"/>
        <v>11577.920616289284</v>
      </c>
      <c r="O22" s="17">
        <f t="shared" si="5"/>
        <v>367981.67105617083</v>
      </c>
      <c r="P22" s="17"/>
      <c r="Q22" s="17"/>
      <c r="R22" s="17"/>
    </row>
    <row r="25" spans="1:18">
      <c r="E25" s="58"/>
    </row>
    <row r="27" spans="1:18">
      <c r="E27" s="15"/>
    </row>
    <row r="127" spans="6:6">
      <c r="F127" s="2">
        <f>SUM(F118:F126)</f>
        <v>0</v>
      </c>
    </row>
  </sheetData>
  <customSheetViews>
    <customSheetView guid="{08F29437-BBE1-46C0-B84C-12B7ABEF1718}" showPageBreaks="1" printArea="1" hiddenColumns="1" view="pageBreakPreview">
      <pane xSplit="3" ySplit="3" topLeftCell="D4" activePane="bottomRight" state="frozen"/>
      <selection pane="bottomRight" activeCell="K1" sqref="K1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5" sqref="H15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" sqref="K1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tabSelected="1"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31" sqref="K31"/>
    </sheetView>
  </sheetViews>
  <sheetFormatPr defaultColWidth="10" defaultRowHeight="10.199999999999999"/>
  <cols>
    <col min="1" max="1" width="19.5546875" style="2" customWidth="1"/>
    <col min="2" max="2" width="10.77734375" style="2" customWidth="1"/>
    <col min="3" max="3" width="3.77734375" style="6" customWidth="1"/>
    <col min="4" max="4" width="8.5546875" style="17" bestFit="1" customWidth="1"/>
    <col min="5" max="5" width="15.21875" style="2" customWidth="1"/>
    <col min="6" max="6" width="10.77734375" style="2" customWidth="1"/>
    <col min="7" max="7" width="12.44140625" style="2" bestFit="1" customWidth="1"/>
    <col min="8" max="9" width="13.21875" style="2" bestFit="1" customWidth="1"/>
    <col min="10" max="10" width="9.5546875" style="9" customWidth="1"/>
    <col min="11" max="12" width="11.21875" style="2" bestFit="1" customWidth="1"/>
    <col min="13" max="13" width="13.21875" style="2" bestFit="1" customWidth="1"/>
    <col min="14" max="14" width="11.21875" style="2" bestFit="1" customWidth="1"/>
    <col min="15" max="15" width="13.21875" style="2" bestFit="1" customWidth="1"/>
    <col min="16" max="16" width="8.21875" style="15" customWidth="1"/>
    <col min="17" max="17" width="7.77734375" style="29" bestFit="1" customWidth="1"/>
    <col min="18" max="16384" width="10" style="2"/>
  </cols>
  <sheetData>
    <row r="1" spans="1:17" ht="12" customHeight="1">
      <c r="A1" s="18" t="s">
        <v>1510</v>
      </c>
      <c r="E1" s="2" t="s">
        <v>102</v>
      </c>
    </row>
    <row r="3" spans="1:17" s="18" customFormat="1" ht="30.6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189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17" ht="10.8" thickBot="1"/>
    <row r="5" spans="1:17" ht="10.8" thickBot="1">
      <c r="A5" s="330" t="s">
        <v>10</v>
      </c>
      <c r="B5" s="331" t="s">
        <v>477</v>
      </c>
      <c r="D5" s="568" t="s">
        <v>672</v>
      </c>
      <c r="E5" s="569"/>
      <c r="F5" s="570"/>
    </row>
    <row r="7" spans="1:17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65967.016491754126</v>
      </c>
      <c r="F7" s="13">
        <v>3000</v>
      </c>
      <c r="G7" s="13">
        <f>5482*(1+CALC!$A$2)</f>
        <v>4248.55</v>
      </c>
      <c r="H7" s="13">
        <v>35000</v>
      </c>
      <c r="I7" s="13">
        <v>15393.84</v>
      </c>
      <c r="J7" s="37"/>
      <c r="K7" s="37">
        <v>960</v>
      </c>
      <c r="L7" s="13"/>
      <c r="M7" s="13">
        <f>SUM(E7:L7)</f>
        <v>124569.40649175413</v>
      </c>
      <c r="N7" s="14">
        <f>M7/CALC!$A$8*CALC!$A$6</f>
        <v>4046.6877741879457</v>
      </c>
      <c r="O7" s="13">
        <f>+M7+N7</f>
        <v>128616.09426594207</v>
      </c>
      <c r="P7" s="48">
        <v>6.67</v>
      </c>
      <c r="Q7" s="21"/>
    </row>
    <row r="8" spans="1:17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65967.016491754126</v>
      </c>
      <c r="F9" s="14">
        <f t="shared" si="0"/>
        <v>3000</v>
      </c>
      <c r="G9" s="14">
        <f t="shared" si="0"/>
        <v>4248.55</v>
      </c>
      <c r="H9" s="14">
        <f t="shared" si="0"/>
        <v>35000</v>
      </c>
      <c r="I9" s="14">
        <f t="shared" si="0"/>
        <v>15393.84</v>
      </c>
      <c r="J9" s="32">
        <f t="shared" si="0"/>
        <v>0</v>
      </c>
      <c r="K9" s="14">
        <f t="shared" si="0"/>
        <v>960</v>
      </c>
      <c r="L9" s="14">
        <f>+L7</f>
        <v>0</v>
      </c>
      <c r="M9" s="14">
        <f t="shared" si="0"/>
        <v>124569.40649175413</v>
      </c>
      <c r="N9" s="14">
        <f>+N7</f>
        <v>4046.6877741879457</v>
      </c>
      <c r="O9" s="14">
        <f>+M9+N9</f>
        <v>128616.09426594207</v>
      </c>
      <c r="P9" s="33"/>
      <c r="Q9" s="135">
        <f>(+O9/D9)*(1+CALC!$A$3)</f>
        <v>6.4308047132971033</v>
      </c>
    </row>
    <row r="10" spans="1:17" s="18" customFormat="1" ht="10.8" thickBot="1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0.8" thickBot="1">
      <c r="A11" s="330" t="s">
        <v>10</v>
      </c>
      <c r="B11" s="331" t="s">
        <v>478</v>
      </c>
      <c r="D11" s="568" t="s">
        <v>673</v>
      </c>
      <c r="E11" s="569"/>
      <c r="F11" s="570"/>
    </row>
    <row r="13" spans="1:17" s="9" customFormat="1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62857.142857142862</v>
      </c>
      <c r="F13" s="37">
        <v>3000</v>
      </c>
      <c r="G13" s="37">
        <f>6057.27*(1+CALC!$A$2)</f>
        <v>4694.3842500000001</v>
      </c>
      <c r="H13" s="37">
        <v>35000</v>
      </c>
      <c r="I13" s="37">
        <f>21849.33</f>
        <v>21849.33</v>
      </c>
      <c r="J13" s="37"/>
      <c r="K13" s="37">
        <f>8500</f>
        <v>8500</v>
      </c>
      <c r="L13" s="37"/>
      <c r="M13" s="37">
        <f>SUM(E13:L13)</f>
        <v>135900.85710714286</v>
      </c>
      <c r="N13" s="37">
        <f>M13/CALC!$A$8*CALC!$A$6</f>
        <v>4414.7945506470869</v>
      </c>
      <c r="O13" s="37">
        <f>+M13+N13</f>
        <v>140315.65165778995</v>
      </c>
      <c r="P13" s="48">
        <v>7</v>
      </c>
      <c r="Q13" s="49"/>
    </row>
    <row r="14" spans="1:17" s="9" customFormat="1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47142.857142857138</v>
      </c>
      <c r="F14" s="37">
        <v>3000</v>
      </c>
      <c r="G14" s="37">
        <f>6057.27*(1+CALC!$A$2)</f>
        <v>4694.3842500000001</v>
      </c>
      <c r="H14" s="37">
        <v>35000</v>
      </c>
      <c r="I14" s="37">
        <f>21980.73</f>
        <v>21980.73</v>
      </c>
      <c r="J14" s="37"/>
      <c r="K14" s="37">
        <f>8500</f>
        <v>8500</v>
      </c>
      <c r="L14" s="37"/>
      <c r="M14" s="37">
        <f>SUM(E14:L14)</f>
        <v>120317.97139285713</v>
      </c>
      <c r="N14" s="37">
        <f>M14/CALC!$A$8*CALC!$A$6</f>
        <v>3908.5781779236422</v>
      </c>
      <c r="O14" s="37">
        <f>+M14+N14</f>
        <v>124226.54957078077</v>
      </c>
      <c r="P14" s="48">
        <v>7</v>
      </c>
      <c r="Q14" s="49"/>
    </row>
    <row r="15" spans="1:17" s="10" customFormat="1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110000</v>
      </c>
      <c r="F16" s="14">
        <f t="shared" si="1"/>
        <v>6000</v>
      </c>
      <c r="G16" s="14">
        <f t="shared" si="1"/>
        <v>9388.7685000000001</v>
      </c>
      <c r="H16" s="14">
        <f t="shared" si="1"/>
        <v>70000</v>
      </c>
      <c r="I16" s="14">
        <f t="shared" si="1"/>
        <v>43830.06</v>
      </c>
      <c r="J16" s="32">
        <f>SUM(J13:J15)</f>
        <v>0</v>
      </c>
      <c r="K16" s="14">
        <f t="shared" si="1"/>
        <v>17000</v>
      </c>
      <c r="L16" s="14">
        <f>+L13+L14</f>
        <v>0</v>
      </c>
      <c r="M16" s="14">
        <f>SUM(M13:M15)</f>
        <v>256218.8285</v>
      </c>
      <c r="N16" s="14">
        <f>+N13</f>
        <v>4414.7945506470869</v>
      </c>
      <c r="O16" s="14">
        <f>+M16+N16</f>
        <v>260633.62305064709</v>
      </c>
      <c r="P16" s="33"/>
      <c r="Q16" s="135">
        <f>(+O16/D16)*(1+CALC!$A$3)</f>
        <v>7.4466749443042026</v>
      </c>
    </row>
    <row r="17" spans="1:17" s="18" customFormat="1" ht="10.8" thickBot="1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0.8" thickBot="1">
      <c r="A18" s="330" t="s">
        <v>10</v>
      </c>
      <c r="B18" s="331" t="s">
        <v>479</v>
      </c>
      <c r="D18" s="568" t="s">
        <v>674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165000</v>
      </c>
      <c r="F20" s="37">
        <v>3000</v>
      </c>
      <c r="G20" s="37">
        <f>6057.27*(1+CALC!$A$2)</f>
        <v>4694.3842500000001</v>
      </c>
      <c r="H20" s="37">
        <v>50000</v>
      </c>
      <c r="I20" s="37">
        <f>29272.05</f>
        <v>29272.05</v>
      </c>
      <c r="J20" s="37"/>
      <c r="K20" s="37">
        <f>2000</f>
        <v>2000</v>
      </c>
      <c r="L20" s="37"/>
      <c r="M20" s="37">
        <f>SUM(E20:L20)</f>
        <v>253966.43424999999</v>
      </c>
      <c r="N20" s="32">
        <f>M20/CALC!$A$8*CALC!$A$6</f>
        <v>8250.2027863608037</v>
      </c>
      <c r="O20" s="37">
        <f>+M20+N20</f>
        <v>262216.6370363608</v>
      </c>
      <c r="P20" s="48">
        <v>2</v>
      </c>
      <c r="Q20" s="49"/>
    </row>
    <row r="21" spans="1:17" s="9" customFormat="1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110000</v>
      </c>
      <c r="F21" s="37">
        <v>3000</v>
      </c>
      <c r="G21" s="37">
        <f>6057.27*(1+CALC!$A$2)</f>
        <v>4694.3842500000001</v>
      </c>
      <c r="H21" s="37">
        <v>50000</v>
      </c>
      <c r="I21" s="37">
        <f>29481.93</f>
        <v>29481.93</v>
      </c>
      <c r="J21" s="37"/>
      <c r="K21" s="37">
        <f>2000</f>
        <v>2000</v>
      </c>
      <c r="L21" s="37"/>
      <c r="M21" s="37">
        <f>SUM(E21:L21)</f>
        <v>199176.31425</v>
      </c>
      <c r="N21" s="32">
        <f>M21/CALC!$A$8*CALC!$A$6</f>
        <v>6470.3234805621769</v>
      </c>
      <c r="O21" s="37">
        <f>+M21+N21</f>
        <v>205646.63773056219</v>
      </c>
      <c r="P21" s="48">
        <v>2</v>
      </c>
      <c r="Q21" s="49"/>
    </row>
    <row r="22" spans="1:17" s="9" customFormat="1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275000</v>
      </c>
      <c r="F23" s="14">
        <f t="shared" si="2"/>
        <v>6000</v>
      </c>
      <c r="G23" s="14">
        <f t="shared" si="2"/>
        <v>9388.7685000000001</v>
      </c>
      <c r="H23" s="14">
        <f t="shared" si="2"/>
        <v>100000</v>
      </c>
      <c r="I23" s="14">
        <f t="shared" si="2"/>
        <v>58753.979999999996</v>
      </c>
      <c r="J23" s="32">
        <f t="shared" si="2"/>
        <v>0</v>
      </c>
      <c r="K23" s="14">
        <f t="shared" si="2"/>
        <v>4000</v>
      </c>
      <c r="L23" s="14">
        <f>+L20+L21</f>
        <v>0</v>
      </c>
      <c r="M23" s="14">
        <f>SUM(M20:M22)</f>
        <v>453142.74849999999</v>
      </c>
      <c r="N23" s="14">
        <f>M23/CALC!$A$8*CALC!$A$6</f>
        <v>14720.526266922981</v>
      </c>
      <c r="O23" s="14">
        <f>+M23+N23</f>
        <v>467863.27476692299</v>
      </c>
      <c r="P23" s="50"/>
      <c r="Q23" s="135">
        <f>(+O23/D23)*(1+CALC!$A$3)</f>
        <v>18.71453099067692</v>
      </c>
    </row>
    <row r="24" spans="1:17" s="18" customFormat="1" ht="10.8" thickBot="1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0.8" thickBot="1">
      <c r="A25" s="330" t="s">
        <v>10</v>
      </c>
      <c r="B25" s="331" t="s">
        <v>480</v>
      </c>
      <c r="D25" s="568" t="s">
        <v>675</v>
      </c>
      <c r="E25" s="569"/>
      <c r="F25" s="570"/>
      <c r="Q25" s="21"/>
    </row>
    <row r="26" spans="1:17">
      <c r="Q26" s="21"/>
    </row>
    <row r="27" spans="1:17" s="9" customFormat="1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150000</v>
      </c>
      <c r="F27" s="37">
        <v>3000</v>
      </c>
      <c r="G27" s="37">
        <f>6057.27*(1+CALC!$A$2)</f>
        <v>4694.3842500000001</v>
      </c>
      <c r="H27" s="37">
        <v>50000</v>
      </c>
      <c r="I27" s="567">
        <v>28507.08</v>
      </c>
      <c r="J27" s="37"/>
      <c r="K27" s="37">
        <f>2500</f>
        <v>2500</v>
      </c>
      <c r="L27" s="37"/>
      <c r="M27" s="37">
        <f>SUM(E27:L27)</f>
        <v>238701.46425000002</v>
      </c>
      <c r="N27" s="32">
        <f>M27/CALC!$A$8*CALC!$A$6</f>
        <v>7754.3140347640419</v>
      </c>
      <c r="O27" s="37">
        <f>+M27+N27</f>
        <v>246455.77828476406</v>
      </c>
      <c r="P27" s="399">
        <v>2.2000000000000002</v>
      </c>
      <c r="Q27" s="49"/>
    </row>
    <row r="28" spans="1:17" s="9" customFormat="1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150000</v>
      </c>
      <c r="F29" s="32">
        <f t="shared" si="3"/>
        <v>3000</v>
      </c>
      <c r="G29" s="32">
        <f t="shared" si="3"/>
        <v>4694.3842500000001</v>
      </c>
      <c r="H29" s="32">
        <f t="shared" si="3"/>
        <v>50000</v>
      </c>
      <c r="I29" s="32">
        <f t="shared" si="3"/>
        <v>28507.08</v>
      </c>
      <c r="J29" s="32">
        <f t="shared" si="3"/>
        <v>0</v>
      </c>
      <c r="K29" s="32">
        <f t="shared" si="3"/>
        <v>2500</v>
      </c>
      <c r="L29" s="32">
        <f>+L27</f>
        <v>0</v>
      </c>
      <c r="M29" s="32">
        <f t="shared" si="3"/>
        <v>238701.46425000002</v>
      </c>
      <c r="N29" s="32">
        <f>M29/CALC!$A$8*CALC!$A$6</f>
        <v>7754.3140347640419</v>
      </c>
      <c r="O29" s="32">
        <f>+M29+N29</f>
        <v>246455.77828476406</v>
      </c>
      <c r="P29" s="50"/>
      <c r="Q29" s="135">
        <f>(+O29/D29)*(1+CALC!$A$3)</f>
        <v>16.43038521898427</v>
      </c>
    </row>
    <row r="30" spans="1:17" s="18" customFormat="1" ht="10.8" thickBot="1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0.8" thickBot="1">
      <c r="A31" s="330" t="s">
        <v>10</v>
      </c>
      <c r="B31" s="331" t="s">
        <v>143</v>
      </c>
      <c r="D31" s="568" t="s">
        <v>17</v>
      </c>
      <c r="E31" s="569"/>
      <c r="F31" s="570"/>
      <c r="Q31" s="21"/>
    </row>
    <row r="32" spans="1:17">
      <c r="Q32" s="21"/>
    </row>
    <row r="33" spans="1:17" s="549" customFormat="1">
      <c r="A33" s="542" t="s">
        <v>27</v>
      </c>
      <c r="B33" s="542" t="s">
        <v>31</v>
      </c>
      <c r="C33" s="384">
        <v>78</v>
      </c>
      <c r="D33" s="543">
        <v>600</v>
      </c>
      <c r="E33" s="550">
        <f>+D33/P33*(CALC!$A$4)</f>
        <v>50769.230769230766</v>
      </c>
      <c r="F33" s="545">
        <v>3000</v>
      </c>
      <c r="G33" s="545">
        <f>2800*(1+CALC!$A$2)</f>
        <v>2170</v>
      </c>
      <c r="H33" s="545">
        <f>8330*(1+CALC!$A$2)</f>
        <v>6455.75</v>
      </c>
      <c r="I33" s="545"/>
      <c r="J33" s="545"/>
      <c r="K33" s="545">
        <v>390</v>
      </c>
      <c r="L33" s="545"/>
      <c r="M33" s="545">
        <f t="shared" ref="M33:M39" si="4">SUM(E33:L33)</f>
        <v>62784.980769230766</v>
      </c>
      <c r="N33" s="546">
        <f>M33/CALC!$A$8*CALC!$A$6</f>
        <v>2039.5956056697569</v>
      </c>
      <c r="O33" s="545">
        <f t="shared" ref="O33:O39" si="5">+M33+N33</f>
        <v>64824.57637490052</v>
      </c>
      <c r="P33" s="547">
        <v>0.26</v>
      </c>
      <c r="Q33" s="548"/>
    </row>
    <row r="34" spans="1:17" s="549" customFormat="1">
      <c r="A34" s="542" t="s">
        <v>123</v>
      </c>
      <c r="B34" s="542" t="s">
        <v>31</v>
      </c>
      <c r="C34" s="384">
        <v>82</v>
      </c>
      <c r="D34" s="543">
        <v>100</v>
      </c>
      <c r="E34" s="550">
        <f>+D34/P34*(CALC!$A$4)</f>
        <v>7333.3333333333339</v>
      </c>
      <c r="F34" s="545">
        <v>3000</v>
      </c>
      <c r="G34" s="545">
        <f>756*(1+CALC!$A$2)</f>
        <v>585.9</v>
      </c>
      <c r="H34" s="545">
        <f>13416*(1+CALC!$A$2)</f>
        <v>10397.4</v>
      </c>
      <c r="I34" s="545"/>
      <c r="J34" s="545"/>
      <c r="K34" s="545">
        <v>390</v>
      </c>
      <c r="L34" s="545"/>
      <c r="M34" s="545">
        <f>SUM(E34:L34)</f>
        <v>21706.633333333331</v>
      </c>
      <c r="N34" s="546">
        <f>M34/CALC!$A$8*CALC!$A$6</f>
        <v>705.14880180146872</v>
      </c>
      <c r="O34" s="545">
        <f>+M34+N34</f>
        <v>22411.782135134799</v>
      </c>
      <c r="P34" s="547">
        <v>0.3</v>
      </c>
      <c r="Q34" s="548"/>
    </row>
    <row r="35" spans="1:17" s="549" customFormat="1">
      <c r="A35" s="542" t="s">
        <v>28</v>
      </c>
      <c r="B35" s="542" t="s">
        <v>31</v>
      </c>
      <c r="C35" s="384">
        <v>83</v>
      </c>
      <c r="D35" s="543">
        <v>600</v>
      </c>
      <c r="E35" s="550">
        <f>+D35/P35*(CALC!$A$4)</f>
        <v>60000.000000000007</v>
      </c>
      <c r="F35" s="545">
        <v>3000</v>
      </c>
      <c r="G35" s="545">
        <f>1800*(1+CALC!$A$2)</f>
        <v>1395</v>
      </c>
      <c r="H35" s="545">
        <f>6000*(1+CALC!$A$2)</f>
        <v>4650</v>
      </c>
      <c r="I35" s="545"/>
      <c r="J35" s="545"/>
      <c r="K35" s="545">
        <v>390</v>
      </c>
      <c r="L35" s="545"/>
      <c r="M35" s="545">
        <f t="shared" si="4"/>
        <v>69435</v>
      </c>
      <c r="N35" s="546">
        <f>M35/CALC!$A$8*CALC!$A$6</f>
        <v>2255.6241818438748</v>
      </c>
      <c r="O35" s="545">
        <f t="shared" si="5"/>
        <v>71690.624181843872</v>
      </c>
      <c r="P35" s="547">
        <v>0.22</v>
      </c>
      <c r="Q35" s="548"/>
    </row>
    <row r="36" spans="1:17" s="549" customFormat="1">
      <c r="A36" s="542" t="s">
        <v>24</v>
      </c>
      <c r="B36" s="542" t="s">
        <v>32</v>
      </c>
      <c r="C36" s="384">
        <v>124</v>
      </c>
      <c r="D36" s="543">
        <v>100</v>
      </c>
      <c r="E36" s="550">
        <f>+D36/P36*(CALC!$A$4)</f>
        <v>5641.0256410256407</v>
      </c>
      <c r="F36" s="545">
        <v>3000</v>
      </c>
      <c r="G36" s="545">
        <f>2000*(1+CALC!$A$2)</f>
        <v>1550</v>
      </c>
      <c r="H36" s="545">
        <f>6000*(1+CALC!$A$2)</f>
        <v>4650</v>
      </c>
      <c r="I36" s="545"/>
      <c r="J36" s="545"/>
      <c r="K36" s="545">
        <v>390</v>
      </c>
      <c r="L36" s="545"/>
      <c r="M36" s="545">
        <f t="shared" si="4"/>
        <v>15231.025641025641</v>
      </c>
      <c r="N36" s="546">
        <f>M36/CALC!$A$8*CALC!$A$6</f>
        <v>494.78605530613584</v>
      </c>
      <c r="O36" s="545">
        <f t="shared" si="5"/>
        <v>15725.811696331777</v>
      </c>
      <c r="P36" s="547">
        <v>0.39</v>
      </c>
      <c r="Q36" s="548"/>
    </row>
    <row r="37" spans="1:17" s="549" customFormat="1">
      <c r="A37" s="542" t="s">
        <v>29</v>
      </c>
      <c r="B37" s="542" t="s">
        <v>33</v>
      </c>
      <c r="C37" s="384">
        <v>151</v>
      </c>
      <c r="D37" s="543">
        <v>200</v>
      </c>
      <c r="E37" s="550">
        <f>+D37/P37*(CALC!$A$4)</f>
        <v>14666.666666666668</v>
      </c>
      <c r="F37" s="545">
        <v>3000</v>
      </c>
      <c r="G37" s="545">
        <f>3000*(1+CALC!$A$2)</f>
        <v>2325</v>
      </c>
      <c r="H37" s="545">
        <f>6000*(1+CALC!$A$2)</f>
        <v>4650</v>
      </c>
      <c r="I37" s="545"/>
      <c r="J37" s="545"/>
      <c r="K37" s="545">
        <v>390</v>
      </c>
      <c r="L37" s="545"/>
      <c r="M37" s="545">
        <f t="shared" si="4"/>
        <v>25031.666666666668</v>
      </c>
      <c r="N37" s="546">
        <f>M37/CALC!$A$8*CALC!$A$6</f>
        <v>813.16386037572693</v>
      </c>
      <c r="O37" s="545">
        <f t="shared" si="5"/>
        <v>25844.830527042395</v>
      </c>
      <c r="P37" s="547">
        <v>0.3</v>
      </c>
      <c r="Q37" s="548"/>
    </row>
    <row r="38" spans="1:17" s="549" customFormat="1">
      <c r="A38" s="542" t="s">
        <v>30</v>
      </c>
      <c r="B38" s="542" t="s">
        <v>33</v>
      </c>
      <c r="C38" s="384">
        <v>408</v>
      </c>
      <c r="D38" s="543">
        <v>200</v>
      </c>
      <c r="E38" s="550">
        <f>+D38/P38*(CALC!$A$4)</f>
        <v>14666.666666666668</v>
      </c>
      <c r="F38" s="545">
        <v>3000</v>
      </c>
      <c r="G38" s="545">
        <f>3000*(1+CALC!$A$2)</f>
        <v>2325</v>
      </c>
      <c r="H38" s="545">
        <f>10000*(1+CALC!$A$2)</f>
        <v>7750</v>
      </c>
      <c r="I38" s="545"/>
      <c r="J38" s="545"/>
      <c r="K38" s="545">
        <v>390</v>
      </c>
      <c r="L38" s="545"/>
      <c r="M38" s="545">
        <f t="shared" si="4"/>
        <v>28131.666666666668</v>
      </c>
      <c r="N38" s="546">
        <f>M38/CALC!$A$8*CALC!$A$6</f>
        <v>913.86861970050575</v>
      </c>
      <c r="O38" s="545">
        <f t="shared" si="5"/>
        <v>29045.535286367172</v>
      </c>
      <c r="P38" s="547">
        <v>0.3</v>
      </c>
      <c r="Q38" s="548"/>
    </row>
    <row r="39" spans="1:17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153076.92307692306</v>
      </c>
      <c r="F40" s="14">
        <f t="shared" si="6"/>
        <v>18000</v>
      </c>
      <c r="G40" s="14">
        <f t="shared" si="6"/>
        <v>10350.9</v>
      </c>
      <c r="H40" s="14">
        <f t="shared" si="6"/>
        <v>38553.15</v>
      </c>
      <c r="I40" s="14">
        <f t="shared" si="6"/>
        <v>0</v>
      </c>
      <c r="J40" s="32">
        <f t="shared" si="6"/>
        <v>0</v>
      </c>
      <c r="K40" s="14">
        <f t="shared" si="6"/>
        <v>2340</v>
      </c>
      <c r="L40" s="14"/>
      <c r="M40" s="14">
        <f t="shared" si="6"/>
        <v>222320.97307692305</v>
      </c>
      <c r="N40" s="14">
        <f>M40/CALC!$A$8*CALC!$A$6</f>
        <v>7222.1871246974679</v>
      </c>
      <c r="O40" s="14">
        <f>+M40+N40</f>
        <v>229543.16020162051</v>
      </c>
      <c r="P40" s="33"/>
      <c r="Q40" s="135">
        <f>(+O40/D40)*(1+CALC!$A$3)</f>
        <v>127.52397788978918</v>
      </c>
    </row>
    <row r="41" spans="1:17" ht="10.8" thickBot="1">
      <c r="Q41" s="21"/>
    </row>
    <row r="42" spans="1:17" ht="10.8" thickBot="1">
      <c r="A42" s="330" t="s">
        <v>10</v>
      </c>
      <c r="B42" s="331" t="s">
        <v>144</v>
      </c>
      <c r="D42" s="568" t="s">
        <v>15</v>
      </c>
      <c r="E42" s="569"/>
      <c r="F42" s="570"/>
      <c r="Q42" s="21"/>
    </row>
    <row r="43" spans="1:17">
      <c r="Q43" s="21"/>
    </row>
    <row r="44" spans="1:17" s="549" customFormat="1">
      <c r="A44" s="542" t="s">
        <v>34</v>
      </c>
      <c r="B44" s="542" t="s">
        <v>37</v>
      </c>
      <c r="C44" s="384">
        <v>94</v>
      </c>
      <c r="D44" s="543"/>
      <c r="E44" s="550"/>
      <c r="F44" s="545"/>
      <c r="G44" s="545">
        <f>710*(1+CALC!$A$2)</f>
        <v>550.25</v>
      </c>
      <c r="H44" s="545">
        <f>5000*(1+CALC!$A$2)</f>
        <v>3875</v>
      </c>
      <c r="I44" s="545"/>
      <c r="J44" s="545"/>
      <c r="K44" s="545">
        <v>468</v>
      </c>
      <c r="L44" s="545"/>
      <c r="M44" s="545">
        <f>SUM(E44:L44)</f>
        <v>4893.25</v>
      </c>
      <c r="N44" s="546">
        <f>M44/CALC!$A$8*CALC!$A$6</f>
        <v>158.95921405353985</v>
      </c>
      <c r="O44" s="545">
        <f t="shared" ref="O44:O49" si="7">+M44+N44</f>
        <v>5052.2092140535397</v>
      </c>
      <c r="P44" s="551"/>
      <c r="Q44" s="548"/>
    </row>
    <row r="45" spans="1:17" s="549" customFormat="1">
      <c r="A45" s="542" t="s">
        <v>34</v>
      </c>
      <c r="B45" s="542" t="s">
        <v>38</v>
      </c>
      <c r="C45" s="384">
        <v>97</v>
      </c>
      <c r="D45" s="543"/>
      <c r="E45" s="550"/>
      <c r="F45" s="545"/>
      <c r="G45" s="545">
        <f>710*(1+CALC!$A$2)</f>
        <v>550.25</v>
      </c>
      <c r="H45" s="545">
        <f>5000*(1+CALC!$A$2)</f>
        <v>3875</v>
      </c>
      <c r="I45" s="545"/>
      <c r="J45" s="545"/>
      <c r="K45" s="545">
        <v>468</v>
      </c>
      <c r="L45" s="545"/>
      <c r="M45" s="545">
        <f>SUM(E45:L45)</f>
        <v>4893.25</v>
      </c>
      <c r="N45" s="546">
        <f>M45/CALC!$A$8*CALC!$A$6</f>
        <v>158.95921405353985</v>
      </c>
      <c r="O45" s="545">
        <f t="shared" si="7"/>
        <v>5052.2092140535397</v>
      </c>
      <c r="P45" s="551"/>
      <c r="Q45" s="548"/>
    </row>
    <row r="46" spans="1:17" s="549" customFormat="1">
      <c r="A46" s="542" t="s">
        <v>35</v>
      </c>
      <c r="B46" s="542" t="s">
        <v>39</v>
      </c>
      <c r="C46" s="384">
        <v>98</v>
      </c>
      <c r="D46" s="543"/>
      <c r="E46" s="550"/>
      <c r="F46" s="545"/>
      <c r="G46" s="545">
        <f>710*(1+CALC!$A$2)</f>
        <v>550.25</v>
      </c>
      <c r="H46" s="545">
        <f>5000*(1+CALC!$A$2)</f>
        <v>3875</v>
      </c>
      <c r="I46" s="545"/>
      <c r="J46" s="545"/>
      <c r="K46" s="545">
        <v>468</v>
      </c>
      <c r="L46" s="545"/>
      <c r="M46" s="545">
        <f>SUM(E46:L46)</f>
        <v>4893.25</v>
      </c>
      <c r="N46" s="546">
        <f>M46/CALC!$A$8*CALC!$A$6</f>
        <v>158.95921405353985</v>
      </c>
      <c r="O46" s="545">
        <f t="shared" si="7"/>
        <v>5052.2092140535397</v>
      </c>
      <c r="P46" s="551"/>
      <c r="Q46" s="548"/>
    </row>
    <row r="47" spans="1:17" s="549" customFormat="1">
      <c r="A47" s="542" t="s">
        <v>36</v>
      </c>
      <c r="B47" s="542" t="s">
        <v>16</v>
      </c>
      <c r="C47" s="384">
        <v>405</v>
      </c>
      <c r="D47" s="543"/>
      <c r="E47" s="550"/>
      <c r="F47" s="545"/>
      <c r="G47" s="545">
        <f>1100*(1+CALC!$A$2)</f>
        <v>852.5</v>
      </c>
      <c r="H47" s="545">
        <f>5000*(1+CALC!$A$2)</f>
        <v>3875</v>
      </c>
      <c r="I47" s="545">
        <v>0</v>
      </c>
      <c r="J47" s="545"/>
      <c r="K47" s="545">
        <v>468</v>
      </c>
      <c r="L47" s="545"/>
      <c r="M47" s="545">
        <f>SUM(E47:L47)</f>
        <v>5195.5</v>
      </c>
      <c r="N47" s="546">
        <f>M47/CALC!$A$8*CALC!$A$6</f>
        <v>168.77792808770582</v>
      </c>
      <c r="O47" s="545">
        <f t="shared" si="7"/>
        <v>5364.2779280877057</v>
      </c>
      <c r="P47" s="551"/>
      <c r="Q47" s="548"/>
    </row>
    <row r="48" spans="1:17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2503.25</v>
      </c>
      <c r="H49" s="14">
        <f t="shared" si="8"/>
        <v>15500</v>
      </c>
      <c r="I49" s="14">
        <f t="shared" si="8"/>
        <v>0</v>
      </c>
      <c r="J49" s="32">
        <f t="shared" si="8"/>
        <v>0</v>
      </c>
      <c r="K49" s="14">
        <f t="shared" si="8"/>
        <v>1872</v>
      </c>
      <c r="L49" s="14"/>
      <c r="M49" s="14">
        <f>SUM(M44:M48)</f>
        <v>19875.25</v>
      </c>
      <c r="N49" s="14">
        <f>M49/CALC!$A$8*CALC!$A$6</f>
        <v>645.65557024832538</v>
      </c>
      <c r="O49" s="14">
        <f t="shared" si="7"/>
        <v>20520.905570248324</v>
      </c>
      <c r="P49" s="41"/>
      <c r="Q49" s="36"/>
    </row>
    <row r="50" spans="1:17" s="18" customFormat="1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>
      <c r="A51" s="52" t="s">
        <v>63</v>
      </c>
      <c r="B51" s="66" t="s">
        <v>14</v>
      </c>
      <c r="C51" s="67"/>
      <c r="D51" s="68">
        <f>+D9+D16+D23+D29+D40+D49</f>
        <v>96800</v>
      </c>
      <c r="E51" s="70">
        <f>+E9+E16+E23+E29+E40+E49</f>
        <v>754043.93956867722</v>
      </c>
      <c r="F51" s="70">
        <f>+F9+F16+F23+F29+F40+F49</f>
        <v>36000</v>
      </c>
      <c r="G51" s="70">
        <f t="shared" ref="G51:O51" si="9">+G9+G16+G23+G29+G40+G49</f>
        <v>40574.621249999997</v>
      </c>
      <c r="H51" s="70">
        <f t="shared" si="9"/>
        <v>309053.15000000002</v>
      </c>
      <c r="I51" s="70">
        <f t="shared" si="9"/>
        <v>146484.96</v>
      </c>
      <c r="J51" s="70">
        <f t="shared" si="9"/>
        <v>0</v>
      </c>
      <c r="K51" s="70">
        <f t="shared" si="9"/>
        <v>28672</v>
      </c>
      <c r="L51" s="70">
        <f t="shared" si="9"/>
        <v>0</v>
      </c>
      <c r="M51" s="70">
        <f t="shared" si="9"/>
        <v>1314828.6708186772</v>
      </c>
      <c r="N51" s="70">
        <f>+N9+N16+N23+N29+N40+N49</f>
        <v>38804.165321467852</v>
      </c>
      <c r="O51" s="70">
        <f t="shared" si="9"/>
        <v>1353632.8361401451</v>
      </c>
      <c r="P51" s="398"/>
      <c r="Q51" s="51"/>
    </row>
    <row r="52" spans="1:17" s="10" customFormat="1" ht="10.8" thickBot="1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1.4" thickTop="1" thickBot="1">
      <c r="Q53" s="21"/>
    </row>
    <row r="54" spans="1:17" ht="10.8" thickBot="1">
      <c r="A54" s="330" t="s">
        <v>10</v>
      </c>
      <c r="B54" s="331" t="s">
        <v>145</v>
      </c>
      <c r="D54" s="568" t="s">
        <v>15</v>
      </c>
      <c r="E54" s="569"/>
      <c r="F54" s="570"/>
      <c r="Q54" s="21"/>
    </row>
    <row r="55" spans="1:17">
      <c r="Q55" s="21"/>
    </row>
    <row r="56" spans="1:17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s="549" customFormat="1">
      <c r="A57" s="542" t="s">
        <v>287</v>
      </c>
      <c r="B57" s="542" t="s">
        <v>16</v>
      </c>
      <c r="C57" s="384">
        <v>17</v>
      </c>
      <c r="D57" s="543"/>
      <c r="E57" s="550"/>
      <c r="F57" s="545"/>
      <c r="G57" s="545">
        <f>710*(1+CALC!$A$2)</f>
        <v>550.25</v>
      </c>
      <c r="H57" s="545">
        <f>5000*(1+CALC!$A$2)</f>
        <v>3875</v>
      </c>
      <c r="I57" s="545"/>
      <c r="J57" s="545"/>
      <c r="K57" s="545">
        <v>468</v>
      </c>
      <c r="L57" s="545"/>
      <c r="M57" s="545">
        <f>SUM(E57:L57)</f>
        <v>4893.25</v>
      </c>
      <c r="N57" s="546">
        <f>M57/CALC!$A$8*CALC!$A$6</f>
        <v>158.95921405353985</v>
      </c>
      <c r="O57" s="545">
        <f t="shared" ref="O57:O59" si="10">+M57+N57</f>
        <v>5052.2092140535397</v>
      </c>
      <c r="P57" s="547"/>
      <c r="Q57" s="548"/>
    </row>
    <row r="58" spans="1:17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550.25</v>
      </c>
      <c r="H59" s="14">
        <f t="shared" si="11"/>
        <v>3875</v>
      </c>
      <c r="I59" s="14">
        <f t="shared" si="11"/>
        <v>0</v>
      </c>
      <c r="J59" s="32">
        <f t="shared" si="11"/>
        <v>0</v>
      </c>
      <c r="K59" s="14">
        <f t="shared" si="11"/>
        <v>468</v>
      </c>
      <c r="L59" s="14"/>
      <c r="M59" s="14">
        <f>SUM(M56:M58)</f>
        <v>4893.25</v>
      </c>
      <c r="N59" s="14">
        <f>M59/CALC!$A$8*CALC!$A$6</f>
        <v>158.95921405353985</v>
      </c>
      <c r="O59" s="14">
        <f t="shared" si="10"/>
        <v>5052.2092140535397</v>
      </c>
      <c r="P59" s="33"/>
      <c r="Q59" s="36"/>
    </row>
    <row r="60" spans="1:17">
      <c r="Q60" s="21"/>
    </row>
    <row r="61" spans="1:17">
      <c r="A61" s="42" t="s">
        <v>286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550.25</v>
      </c>
      <c r="H61" s="69">
        <f t="shared" si="12"/>
        <v>3875</v>
      </c>
      <c r="I61" s="69">
        <f t="shared" si="12"/>
        <v>0</v>
      </c>
      <c r="J61" s="69">
        <f t="shared" si="12"/>
        <v>0</v>
      </c>
      <c r="K61" s="69">
        <f t="shared" si="12"/>
        <v>468</v>
      </c>
      <c r="L61" s="69">
        <f t="shared" si="12"/>
        <v>0</v>
      </c>
      <c r="M61" s="69">
        <f t="shared" si="12"/>
        <v>4893.25</v>
      </c>
      <c r="N61" s="69">
        <f>+N59</f>
        <v>158.95921405353985</v>
      </c>
      <c r="O61" s="69">
        <f>+O59</f>
        <v>5052.2092140535397</v>
      </c>
      <c r="P61" s="24"/>
      <c r="Q61" s="51"/>
    </row>
    <row r="62" spans="1:17" s="9" customFormat="1" ht="10.8" thickBot="1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1.4" thickTop="1" thickBot="1">
      <c r="Q63" s="21"/>
    </row>
    <row r="64" spans="1:17" ht="10.8" thickBot="1">
      <c r="A64" s="330" t="s">
        <v>10</v>
      </c>
      <c r="B64" s="331" t="s">
        <v>146</v>
      </c>
      <c r="D64" s="568" t="s">
        <v>140</v>
      </c>
      <c r="E64" s="569"/>
      <c r="F64" s="570"/>
      <c r="Q64" s="21"/>
    </row>
    <row r="65" spans="1:17">
      <c r="Q65" s="21"/>
    </row>
    <row r="66" spans="1:17">
      <c r="A66" s="12" t="s">
        <v>125</v>
      </c>
      <c r="B66" s="12" t="s">
        <v>133</v>
      </c>
      <c r="C66" s="19">
        <v>411</v>
      </c>
      <c r="D66" s="8">
        <v>30000</v>
      </c>
      <c r="E66" s="30">
        <f>+D66/P66*(CALC!$A$4)</f>
        <v>146017.69911504426</v>
      </c>
      <c r="F66" s="13">
        <v>3000</v>
      </c>
      <c r="G66" s="13">
        <f>53688.31</f>
        <v>53688.31</v>
      </c>
      <c r="H66" s="13">
        <v>60000</v>
      </c>
      <c r="I66" s="13">
        <f>0</f>
        <v>0</v>
      </c>
      <c r="J66" s="37"/>
      <c r="K66" s="37">
        <v>17160</v>
      </c>
      <c r="L66" s="13"/>
      <c r="M66" s="13">
        <f t="shared" ref="M66:M71" si="13">SUM(E66:L66)</f>
        <v>279866.00911504426</v>
      </c>
      <c r="N66" s="13">
        <f>M66/CALC!$A$8*CALC!$A$6</f>
        <v>9091.5609971344747</v>
      </c>
      <c r="O66" s="13">
        <f t="shared" ref="O66:O71" si="14">+M66+N66</f>
        <v>288957.57011217874</v>
      </c>
      <c r="P66" s="31">
        <v>4.5199999999999996</v>
      </c>
      <c r="Q66" s="97"/>
    </row>
    <row r="67" spans="1:17">
      <c r="A67" s="12" t="s">
        <v>125</v>
      </c>
      <c r="B67" s="12" t="s">
        <v>134</v>
      </c>
      <c r="C67" s="19">
        <v>412</v>
      </c>
      <c r="D67" s="8">
        <v>40000</v>
      </c>
      <c r="E67" s="30">
        <f>+D67/P67*(CALC!$A$4)</f>
        <v>194690.26548672566</v>
      </c>
      <c r="F67" s="13">
        <v>3000</v>
      </c>
      <c r="G67" s="13">
        <f>21800*(1+CALC!$A$2)</f>
        <v>16895</v>
      </c>
      <c r="H67" s="13">
        <v>60000</v>
      </c>
      <c r="I67" s="13">
        <f>11881.44</f>
        <v>11881.44</v>
      </c>
      <c r="J67" s="37"/>
      <c r="K67" s="37">
        <v>17160</v>
      </c>
      <c r="L67" s="13"/>
      <c r="M67" s="13">
        <f t="shared" si="13"/>
        <v>303626.70548672567</v>
      </c>
      <c r="N67" s="13">
        <f>M67/CALC!$A$8*CALC!$A$6</f>
        <v>9863.436871166512</v>
      </c>
      <c r="O67" s="13">
        <f t="shared" si="14"/>
        <v>313490.14235789218</v>
      </c>
      <c r="P67" s="31">
        <v>4.5199999999999996</v>
      </c>
      <c r="Q67" s="97"/>
    </row>
    <row r="68" spans="1:17">
      <c r="A68" s="12" t="s">
        <v>125</v>
      </c>
      <c r="B68" s="12" t="s">
        <v>135</v>
      </c>
      <c r="C68" s="19">
        <v>413</v>
      </c>
      <c r="D68" s="8">
        <v>80000</v>
      </c>
      <c r="E68" s="30">
        <f>+D68/P68*(CALC!$A$4)</f>
        <v>389380.53097345133</v>
      </c>
      <c r="F68" s="13">
        <v>3000</v>
      </c>
      <c r="G68" s="13">
        <f>21800*(1+CALC!$A$2)</f>
        <v>16895</v>
      </c>
      <c r="H68" s="13">
        <v>60000</v>
      </c>
      <c r="I68" s="13">
        <f>0</f>
        <v>0</v>
      </c>
      <c r="J68" s="37"/>
      <c r="K68" s="37">
        <v>17160</v>
      </c>
      <c r="L68" s="13"/>
      <c r="M68" s="13">
        <f t="shared" si="13"/>
        <v>486435.53097345133</v>
      </c>
      <c r="N68" s="13">
        <f>M68/CALC!$A$8*CALC!$A$6</f>
        <v>15802.055830226574</v>
      </c>
      <c r="O68" s="13">
        <f t="shared" si="14"/>
        <v>502237.5868036779</v>
      </c>
      <c r="P68" s="31">
        <v>4.5199999999999996</v>
      </c>
      <c r="Q68" s="97"/>
    </row>
    <row r="69" spans="1:17">
      <c r="A69" s="12" t="s">
        <v>125</v>
      </c>
      <c r="B69" s="12" t="s">
        <v>136</v>
      </c>
      <c r="C69" s="19">
        <v>414</v>
      </c>
      <c r="D69" s="8">
        <v>60000</v>
      </c>
      <c r="E69" s="30">
        <f>+D69/P69*(CALC!$A$4)</f>
        <v>292035.39823008853</v>
      </c>
      <c r="F69" s="13">
        <v>3000</v>
      </c>
      <c r="G69" s="13">
        <f>21800*(1+CALC!$A$2)</f>
        <v>16895</v>
      </c>
      <c r="H69" s="13">
        <v>60000</v>
      </c>
      <c r="I69" s="13">
        <v>20403.09</v>
      </c>
      <c r="J69" s="37"/>
      <c r="K69" s="37">
        <v>17160</v>
      </c>
      <c r="L69" s="13"/>
      <c r="M69" s="13">
        <f t="shared" si="13"/>
        <v>409493.48823008855</v>
      </c>
      <c r="N69" s="13">
        <f>M69/CALC!$A$8*CALC!$A$6</f>
        <v>13302.562315250061</v>
      </c>
      <c r="O69" s="13">
        <f t="shared" si="14"/>
        <v>422796.0505453386</v>
      </c>
      <c r="P69" s="31">
        <v>4.5199999999999996</v>
      </c>
      <c r="Q69" s="97"/>
    </row>
    <row r="70" spans="1:17">
      <c r="A70" s="12" t="s">
        <v>125</v>
      </c>
      <c r="B70" s="12" t="s">
        <v>137</v>
      </c>
      <c r="C70" s="19">
        <v>415</v>
      </c>
      <c r="D70" s="8">
        <v>40000</v>
      </c>
      <c r="E70" s="30">
        <f>+D70/P70*(CALC!$A$4)</f>
        <v>194690.26548672566</v>
      </c>
      <c r="F70" s="13">
        <v>3000</v>
      </c>
      <c r="G70" s="13">
        <f>21800*(1+CALC!$A$2)</f>
        <v>16895</v>
      </c>
      <c r="H70" s="13">
        <v>60000</v>
      </c>
      <c r="I70" s="13">
        <v>20403.09</v>
      </c>
      <c r="J70" s="37"/>
      <c r="K70" s="37">
        <v>17160</v>
      </c>
      <c r="L70" s="13"/>
      <c r="M70" s="13">
        <f t="shared" si="13"/>
        <v>312148.35548672569</v>
      </c>
      <c r="N70" s="13">
        <f>M70/CALC!$A$8*CALC!$A$6</f>
        <v>10140.266133198771</v>
      </c>
      <c r="O70" s="13">
        <f t="shared" si="14"/>
        <v>322288.62161992444</v>
      </c>
      <c r="P70" s="31">
        <v>4.5199999999999996</v>
      </c>
      <c r="Q70" s="97"/>
    </row>
    <row r="71" spans="1:17">
      <c r="A71" s="12" t="s">
        <v>125</v>
      </c>
      <c r="B71" s="12" t="s">
        <v>138</v>
      </c>
      <c r="C71" s="19">
        <v>416</v>
      </c>
      <c r="D71" s="8">
        <v>20000</v>
      </c>
      <c r="E71" s="30">
        <f>+D71/P71*(CALC!$A$4)</f>
        <v>97345.132743362832</v>
      </c>
      <c r="F71" s="13">
        <v>3000</v>
      </c>
      <c r="G71" s="13">
        <f>21800*(1+CALC!$A$2)</f>
        <v>16895</v>
      </c>
      <c r="H71" s="13">
        <v>60000</v>
      </c>
      <c r="I71" s="13">
        <v>20403.09</v>
      </c>
      <c r="J71" s="37"/>
      <c r="K71" s="37">
        <v>17160</v>
      </c>
      <c r="L71" s="13"/>
      <c r="M71" s="13">
        <f t="shared" si="13"/>
        <v>214803.22274336283</v>
      </c>
      <c r="N71" s="13">
        <f>M71/CALC!$A$8*CALC!$A$6</f>
        <v>6977.9699511474819</v>
      </c>
      <c r="O71" s="13">
        <f t="shared" si="14"/>
        <v>221781.1926945103</v>
      </c>
      <c r="P71" s="31">
        <v>4.5199999999999996</v>
      </c>
      <c r="Q71" s="97"/>
    </row>
    <row r="72" spans="1:17" s="549" customFormat="1">
      <c r="A72" s="542" t="s">
        <v>141</v>
      </c>
      <c r="B72" s="542" t="s">
        <v>197</v>
      </c>
      <c r="C72" s="384">
        <v>418</v>
      </c>
      <c r="D72" s="543">
        <v>40000</v>
      </c>
      <c r="E72" s="550">
        <f>+D72/P72*(CALC!$A$4)</f>
        <v>246498.59943977592</v>
      </c>
      <c r="F72" s="545">
        <v>3000</v>
      </c>
      <c r="G72" s="545">
        <f>21800*(1+CALC!$A$2)</f>
        <v>16895</v>
      </c>
      <c r="H72" s="13">
        <v>60000</v>
      </c>
      <c r="I72" s="545">
        <f>878480/8</f>
        <v>109810</v>
      </c>
      <c r="J72" s="545"/>
      <c r="K72" s="545">
        <v>10200</v>
      </c>
      <c r="L72" s="545"/>
      <c r="M72" s="545">
        <f>SUM(E72:L72)</f>
        <v>446403.59943977592</v>
      </c>
      <c r="N72" s="545">
        <f>M72/CALC!$A$8*CALC!$A$6</f>
        <v>14501.602272031474</v>
      </c>
      <c r="O72" s="545">
        <f>+M72+N72</f>
        <v>460905.2017118074</v>
      </c>
      <c r="P72" s="547">
        <v>3.57</v>
      </c>
      <c r="Q72" s="552"/>
    </row>
    <row r="73" spans="1:17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>
      <c r="A74" s="35"/>
      <c r="B74" s="4" t="s">
        <v>14</v>
      </c>
      <c r="C74" s="26"/>
      <c r="D74" s="16">
        <f>SUM(D66:D73)</f>
        <v>310000</v>
      </c>
      <c r="E74" s="14">
        <f t="shared" ref="E74:M74" si="15">SUM(E66:E73)</f>
        <v>1560657.8914751741</v>
      </c>
      <c r="F74" s="14">
        <f t="shared" si="15"/>
        <v>21000</v>
      </c>
      <c r="G74" s="14">
        <f t="shared" si="15"/>
        <v>155058.31</v>
      </c>
      <c r="H74" s="14">
        <f t="shared" si="15"/>
        <v>420000</v>
      </c>
      <c r="I74" s="14">
        <f t="shared" si="15"/>
        <v>182900.71</v>
      </c>
      <c r="J74" s="32">
        <f t="shared" si="15"/>
        <v>0</v>
      </c>
      <c r="K74" s="14">
        <f t="shared" si="15"/>
        <v>113160</v>
      </c>
      <c r="L74" s="14"/>
      <c r="M74" s="14">
        <f t="shared" si="15"/>
        <v>2452776.9114751741</v>
      </c>
      <c r="N74" s="14">
        <f>M74/CALC!$A$8*CALC!$A$6</f>
        <v>79679.454370155348</v>
      </c>
      <c r="O74" s="14">
        <f>+M74+N74</f>
        <v>2532456.3658453296</v>
      </c>
      <c r="P74" s="33"/>
      <c r="Q74" s="135">
        <f>(+O74/D74)*(1+CALC!$A$3)</f>
        <v>8.1692140833720313</v>
      </c>
    </row>
    <row r="75" spans="1:17" ht="10.8" thickBot="1">
      <c r="Q75" s="21"/>
    </row>
    <row r="76" spans="1:17" ht="10.8" thickBot="1">
      <c r="A76" s="330" t="s">
        <v>10</v>
      </c>
      <c r="B76" s="331" t="s">
        <v>681</v>
      </c>
      <c r="D76" s="568" t="s">
        <v>671</v>
      </c>
      <c r="E76" s="569"/>
      <c r="F76" s="570"/>
      <c r="Q76" s="21"/>
    </row>
    <row r="77" spans="1:17">
      <c r="Q77" s="21"/>
    </row>
    <row r="78" spans="1:17" s="9" customFormat="1">
      <c r="A78" s="320" t="str">
        <f>+'1-10'!C3</f>
        <v>ISUZU KB200i 2x4 CANOPY  [133]</v>
      </c>
      <c r="B78" s="61" t="str">
        <f>+'1-10'!R3</f>
        <v>CMB 436 L</v>
      </c>
      <c r="C78" s="553">
        <v>602</v>
      </c>
      <c r="D78" s="46">
        <v>27000</v>
      </c>
      <c r="E78" s="62">
        <f>+D78/P78*(CALC!$A$4)</f>
        <v>89055.472263868069</v>
      </c>
      <c r="F78" s="37">
        <v>3000</v>
      </c>
      <c r="G78" s="13">
        <f>5482*(1+CALC!$A$2)</f>
        <v>4248.55</v>
      </c>
      <c r="H78" s="13">
        <v>35000</v>
      </c>
      <c r="I78" s="37">
        <v>16444.75</v>
      </c>
      <c r="J78" s="37"/>
      <c r="K78" s="37">
        <v>960</v>
      </c>
      <c r="L78" s="37"/>
      <c r="M78" s="37">
        <f>SUM(E78:L78)</f>
        <v>148708.77226386807</v>
      </c>
      <c r="N78" s="37">
        <f>M78/CALC!$A$8*CALC!$A$6</f>
        <v>4830.8648775213442</v>
      </c>
      <c r="O78" s="37">
        <f>+M78+N78</f>
        <v>153539.63714138942</v>
      </c>
      <c r="P78" s="48">
        <v>6.67</v>
      </c>
      <c r="Q78" s="49"/>
    </row>
    <row r="79" spans="1:17" s="9" customFormat="1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89055.472263868069</v>
      </c>
      <c r="F79" s="37">
        <v>3000</v>
      </c>
      <c r="G79" s="13">
        <f>5482*(1+CALC!$A$2)</f>
        <v>4248.55</v>
      </c>
      <c r="H79" s="13">
        <v>35000</v>
      </c>
      <c r="I79" s="37">
        <v>16066.59</v>
      </c>
      <c r="J79" s="37"/>
      <c r="K79" s="37">
        <v>960</v>
      </c>
      <c r="L79" s="37"/>
      <c r="M79" s="37">
        <f t="shared" ref="M79:M83" si="16">SUM(E79:L79)</f>
        <v>148330.61226386807</v>
      </c>
      <c r="N79" s="37">
        <f>M79/CALC!$A$8*CALC!$A$6</f>
        <v>4818.5801962999703</v>
      </c>
      <c r="O79" s="37">
        <f t="shared" ref="O79:O83" si="17">+M79+N79</f>
        <v>153149.19246016804</v>
      </c>
      <c r="P79" s="48">
        <v>6.67</v>
      </c>
      <c r="Q79" s="49"/>
    </row>
    <row r="80" spans="1:17" s="9" customFormat="1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100929.5352323838</v>
      </c>
      <c r="F80" s="37">
        <v>3000</v>
      </c>
      <c r="G80" s="13">
        <f>5482*(1+CALC!$A$2)</f>
        <v>4248.55</v>
      </c>
      <c r="H80" s="13">
        <v>35000</v>
      </c>
      <c r="I80" s="37">
        <v>16066.59</v>
      </c>
      <c r="J80" s="37"/>
      <c r="K80" s="37">
        <v>960</v>
      </c>
      <c r="L80" s="37"/>
      <c r="M80" s="37">
        <f t="shared" si="16"/>
        <v>160204.6752323838</v>
      </c>
      <c r="N80" s="37">
        <f>M80/CALC!$A$8*CALC!$A$6</f>
        <v>5204.31395547792</v>
      </c>
      <c r="O80" s="37">
        <f t="shared" si="17"/>
        <v>165408.98918786173</v>
      </c>
      <c r="P80" s="48">
        <v>6.67</v>
      </c>
      <c r="Q80" s="49"/>
    </row>
    <row r="81" spans="1:17" s="9" customFormat="1">
      <c r="A81" s="320" t="s">
        <v>638</v>
      </c>
      <c r="B81" s="61" t="s">
        <v>567</v>
      </c>
      <c r="C81" s="54">
        <v>605</v>
      </c>
      <c r="D81" s="46">
        <v>39000</v>
      </c>
      <c r="E81" s="62">
        <f>+D81/P81*(CALC!$A$4)</f>
        <v>128635.68215892055</v>
      </c>
      <c r="F81" s="37">
        <v>3000</v>
      </c>
      <c r="G81" s="13">
        <f>5482*(1+CALC!$A$2)</f>
        <v>4248.55</v>
      </c>
      <c r="H81" s="13">
        <v>35000</v>
      </c>
      <c r="I81" s="566">
        <v>16066.59</v>
      </c>
      <c r="J81" s="37"/>
      <c r="K81" s="37">
        <v>960</v>
      </c>
      <c r="L81" s="37"/>
      <c r="M81" s="37">
        <f>SUM(E81:L81)</f>
        <v>187910.82215892055</v>
      </c>
      <c r="N81" s="37">
        <f>M81/CALC!$A$8*CALC!$A$6</f>
        <v>6104.3593935598046</v>
      </c>
      <c r="O81" s="37">
        <f>+M81+N81</f>
        <v>194015.18155248035</v>
      </c>
      <c r="P81" s="48">
        <v>6.67</v>
      </c>
      <c r="Q81" s="49"/>
    </row>
    <row r="82" spans="1:17" s="9" customFormat="1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89055.472263868069</v>
      </c>
      <c r="F82" s="37">
        <v>3000</v>
      </c>
      <c r="G82" s="13">
        <f>5482*(1+CALC!$A$2)</f>
        <v>4248.55</v>
      </c>
      <c r="H82" s="13">
        <v>35000</v>
      </c>
      <c r="I82" s="37">
        <v>16066.59</v>
      </c>
      <c r="J82" s="37"/>
      <c r="K82" s="37">
        <v>960</v>
      </c>
      <c r="L82" s="37"/>
      <c r="M82" s="37">
        <f t="shared" si="16"/>
        <v>148330.61226386807</v>
      </c>
      <c r="N82" s="37">
        <f>M82/CALC!$A$8*CALC!$A$6</f>
        <v>4818.5801962999703</v>
      </c>
      <c r="O82" s="37">
        <f t="shared" si="17"/>
        <v>153149.19246016804</v>
      </c>
      <c r="P82" s="48">
        <v>6.67</v>
      </c>
      <c r="Q82" s="49"/>
    </row>
    <row r="83" spans="1:17" s="9" customFormat="1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89055.472263868069</v>
      </c>
      <c r="F83" s="37">
        <v>3000</v>
      </c>
      <c r="G83" s="13">
        <f>5482*(1+CALC!$A$2)</f>
        <v>4248.55</v>
      </c>
      <c r="H83" s="13">
        <v>35000</v>
      </c>
      <c r="I83" s="37">
        <v>16066.59</v>
      </c>
      <c r="J83" s="37"/>
      <c r="K83" s="37">
        <v>960</v>
      </c>
      <c r="L83" s="37"/>
      <c r="M83" s="37">
        <f t="shared" si="16"/>
        <v>148330.61226386807</v>
      </c>
      <c r="N83" s="37">
        <f>M83/CALC!$A$8*CALC!$A$6</f>
        <v>4818.5801962999703</v>
      </c>
      <c r="O83" s="37">
        <f t="shared" si="17"/>
        <v>153149.19246016804</v>
      </c>
      <c r="P83" s="48">
        <v>6.67</v>
      </c>
      <c r="Q83" s="49"/>
    </row>
    <row r="84" spans="1:17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>
      <c r="A85" s="35"/>
      <c r="B85" s="4" t="s">
        <v>14</v>
      </c>
      <c r="C85" s="26"/>
      <c r="D85" s="16">
        <f t="shared" ref="D85:K85" si="18">SUM(D78:D84)</f>
        <v>177600</v>
      </c>
      <c r="E85" s="14">
        <f t="shared" si="18"/>
        <v>585787.10644677666</v>
      </c>
      <c r="F85" s="14">
        <f t="shared" si="18"/>
        <v>18000</v>
      </c>
      <c r="G85" s="32">
        <f t="shared" si="18"/>
        <v>25491.3</v>
      </c>
      <c r="H85" s="14">
        <f t="shared" si="18"/>
        <v>210000</v>
      </c>
      <c r="I85" s="14">
        <f t="shared" si="18"/>
        <v>96777.7</v>
      </c>
      <c r="J85" s="32">
        <f t="shared" si="18"/>
        <v>0</v>
      </c>
      <c r="K85" s="14">
        <f t="shared" si="18"/>
        <v>5760</v>
      </c>
      <c r="L85" s="14">
        <f>+L78+L79+L80+L81+L82+L83</f>
        <v>0</v>
      </c>
      <c r="M85" s="14">
        <f>SUM(M78:M84)</f>
        <v>941816.10644677666</v>
      </c>
      <c r="N85" s="14">
        <f>M85/CALC!$A$8*CALC!$A$6</f>
        <v>30595.278815458983</v>
      </c>
      <c r="O85" s="14">
        <f>+M85+N85</f>
        <v>972411.38526223565</v>
      </c>
      <c r="P85" s="33"/>
      <c r="Q85" s="135">
        <f>(+O85/D85)*(1+CALC!$A$3)</f>
        <v>5.4752893314315072</v>
      </c>
    </row>
    <row r="86" spans="1:17" ht="10.8" thickBot="1">
      <c r="Q86" s="21"/>
    </row>
    <row r="87" spans="1:17" ht="10.8" thickBot="1">
      <c r="A87" s="330" t="s">
        <v>10</v>
      </c>
      <c r="B87" s="331" t="s">
        <v>682</v>
      </c>
      <c r="D87" s="568" t="s">
        <v>629</v>
      </c>
      <c r="E87" s="569"/>
      <c r="F87" s="570"/>
      <c r="Q87" s="21"/>
    </row>
    <row r="88" spans="1:17">
      <c r="Q88" s="21"/>
    </row>
    <row r="89" spans="1:17" s="9" customFormat="1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462000</v>
      </c>
      <c r="F89" s="37">
        <v>3000</v>
      </c>
      <c r="G89" s="37">
        <f>6057*(1+CALC!$A$2)</f>
        <v>4694.1750000000002</v>
      </c>
      <c r="H89" s="37">
        <f>70000</f>
        <v>70000</v>
      </c>
      <c r="I89" s="37">
        <v>25929.71</v>
      </c>
      <c r="J89" s="37"/>
      <c r="K89" s="37">
        <v>2400</v>
      </c>
      <c r="L89" s="37"/>
      <c r="M89" s="37">
        <f>SUM(E89:L89)</f>
        <v>568023.88500000001</v>
      </c>
      <c r="N89" s="32">
        <f>M89/CALC!$A$8*CALC!$A$6</f>
        <v>18452.486654726064</v>
      </c>
      <c r="O89" s="37">
        <f>+M89+N89</f>
        <v>586476.3716547261</v>
      </c>
      <c r="P89" s="48">
        <v>2</v>
      </c>
      <c r="Q89" s="49"/>
    </row>
    <row r="90" spans="1:17" s="9" customFormat="1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462000</v>
      </c>
      <c r="F90" s="37">
        <v>3000</v>
      </c>
      <c r="G90" s="37">
        <f>6057*(1+CALC!$A$2)</f>
        <v>4694.1750000000002</v>
      </c>
      <c r="H90" s="37">
        <f>70000</f>
        <v>70000</v>
      </c>
      <c r="I90" s="37">
        <v>43548.24</v>
      </c>
      <c r="J90" s="37"/>
      <c r="K90" s="37">
        <v>2400</v>
      </c>
      <c r="L90" s="37"/>
      <c r="M90" s="37">
        <f>SUM(E90:L90)</f>
        <v>585642.41500000004</v>
      </c>
      <c r="N90" s="37">
        <f>M90/CALC!$A$8*CALC!$A$6</f>
        <v>19024.831759018452</v>
      </c>
      <c r="O90" s="37">
        <f>+M90+N90</f>
        <v>604667.24675901851</v>
      </c>
      <c r="P90" s="48">
        <v>2</v>
      </c>
      <c r="Q90" s="49"/>
    </row>
    <row r="91" spans="1:17" s="9" customFormat="1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462000</v>
      </c>
      <c r="F91" s="37">
        <v>3000</v>
      </c>
      <c r="G91" s="37">
        <f>6057*(1+CALC!$A$2)</f>
        <v>4694.1750000000002</v>
      </c>
      <c r="H91" s="37">
        <f>70000</f>
        <v>70000</v>
      </c>
      <c r="I91" s="37">
        <v>43548.24</v>
      </c>
      <c r="J91" s="37"/>
      <c r="K91" s="37">
        <v>2400</v>
      </c>
      <c r="L91" s="37"/>
      <c r="M91" s="37">
        <f>SUM(E91:L91)</f>
        <v>585642.41500000004</v>
      </c>
      <c r="N91" s="37">
        <f>M91/CALC!$A$8*CALC!$A$6</f>
        <v>19024.831759018452</v>
      </c>
      <c r="O91" s="37">
        <f>+M91+N91</f>
        <v>604667.24675901851</v>
      </c>
      <c r="P91" s="48">
        <v>2</v>
      </c>
      <c r="Q91" s="49"/>
    </row>
    <row r="92" spans="1:17" s="18" customFormat="1">
      <c r="A92" s="35"/>
      <c r="B92" s="4" t="s">
        <v>14</v>
      </c>
      <c r="C92" s="26"/>
      <c r="D92" s="16">
        <f>SUM(D89:D91)</f>
        <v>126000</v>
      </c>
      <c r="E92" s="14">
        <f>SUM(E89:E91)</f>
        <v>1386000</v>
      </c>
      <c r="F92" s="14">
        <f t="shared" ref="F92:O92" si="19">SUM(F89:F91)</f>
        <v>9000</v>
      </c>
      <c r="G92" s="14">
        <f t="shared" si="19"/>
        <v>14082.525000000001</v>
      </c>
      <c r="H92" s="14">
        <f t="shared" si="19"/>
        <v>210000</v>
      </c>
      <c r="I92" s="14">
        <f t="shared" si="19"/>
        <v>113026.19</v>
      </c>
      <c r="J92" s="14">
        <f t="shared" si="19"/>
        <v>0</v>
      </c>
      <c r="K92" s="14">
        <f t="shared" si="19"/>
        <v>7200</v>
      </c>
      <c r="L92" s="14">
        <f>+L89+L90+L91</f>
        <v>0</v>
      </c>
      <c r="M92" s="14">
        <f t="shared" si="19"/>
        <v>1739308.7150000001</v>
      </c>
      <c r="N92" s="14">
        <f t="shared" si="19"/>
        <v>56502.150172762973</v>
      </c>
      <c r="O92" s="14">
        <f t="shared" si="19"/>
        <v>1795810.8651727629</v>
      </c>
      <c r="P92" s="33"/>
      <c r="Q92" s="135">
        <f>(+O92/D92)*(1+CALC!$A$3)</f>
        <v>14.252467183910817</v>
      </c>
    </row>
    <row r="93" spans="1:17" ht="10.8" thickBot="1">
      <c r="Q93" s="21"/>
    </row>
    <row r="94" spans="1:17" ht="10.8" thickBot="1">
      <c r="A94" s="330" t="s">
        <v>10</v>
      </c>
      <c r="B94" s="331" t="s">
        <v>683</v>
      </c>
      <c r="D94" s="568" t="s">
        <v>676</v>
      </c>
      <c r="E94" s="569"/>
      <c r="F94" s="570"/>
      <c r="Q94" s="21"/>
    </row>
    <row r="95" spans="1:17">
      <c r="Q95" s="21"/>
    </row>
    <row r="96" spans="1:17" s="9" customFormat="1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550000</v>
      </c>
      <c r="F96" s="37">
        <v>3000</v>
      </c>
      <c r="G96" s="37">
        <f>9718*(1+CALC!$A$2)</f>
        <v>7531.45</v>
      </c>
      <c r="H96" s="37">
        <f>120000</f>
        <v>120000</v>
      </c>
      <c r="I96" s="37">
        <v>134584.98000000001</v>
      </c>
      <c r="J96" s="37"/>
      <c r="K96" s="37">
        <v>39000</v>
      </c>
      <c r="L96" s="37"/>
      <c r="M96" s="37">
        <f>SUM(E96:L96)</f>
        <v>854116.42999999993</v>
      </c>
      <c r="N96" s="32">
        <f>M96/CALC!$A$8*CALC!$A$6</f>
        <v>27746.319199512654</v>
      </c>
      <c r="O96" s="37">
        <f>+M96+N96</f>
        <v>881862.74919951265</v>
      </c>
      <c r="P96" s="48">
        <v>1.2</v>
      </c>
      <c r="Q96" s="49"/>
    </row>
    <row r="97" spans="1:17" s="9" customFormat="1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>
      <c r="A98" s="35"/>
      <c r="B98" s="4" t="s">
        <v>14</v>
      </c>
      <c r="C98" s="26"/>
      <c r="D98" s="16">
        <f t="shared" ref="D98:K98" si="20">SUM(D96:D97)</f>
        <v>30000</v>
      </c>
      <c r="E98" s="14">
        <f t="shared" si="20"/>
        <v>550000</v>
      </c>
      <c r="F98" s="14">
        <f t="shared" si="20"/>
        <v>3000</v>
      </c>
      <c r="G98" s="14">
        <f t="shared" si="20"/>
        <v>7531.45</v>
      </c>
      <c r="H98" s="14">
        <f t="shared" si="20"/>
        <v>120000</v>
      </c>
      <c r="I98" s="14">
        <f t="shared" si="20"/>
        <v>134584.98000000001</v>
      </c>
      <c r="J98" s="32">
        <f t="shared" si="20"/>
        <v>0</v>
      </c>
      <c r="K98" s="14">
        <f t="shared" si="20"/>
        <v>39000</v>
      </c>
      <c r="L98" s="14">
        <f>+L96</f>
        <v>0</v>
      </c>
      <c r="M98" s="14">
        <f>SUM(M96:M97)</f>
        <v>854116.42999999993</v>
      </c>
      <c r="N98" s="14">
        <f>M98/CALC!$A$8*CALC!$A$6</f>
        <v>27746.319199512654</v>
      </c>
      <c r="O98" s="14">
        <f>+M98+N98</f>
        <v>881862.74919951265</v>
      </c>
      <c r="P98" s="33"/>
      <c r="Q98" s="135">
        <f>(+O98/D98)*(1+CALC!$A$3)</f>
        <v>29.395424973317088</v>
      </c>
    </row>
    <row r="99" spans="1:17">
      <c r="Q99" s="21"/>
    </row>
    <row r="100" spans="1:17" s="18" customFormat="1">
      <c r="A100" s="42" t="s">
        <v>64</v>
      </c>
      <c r="B100" s="66" t="s">
        <v>14</v>
      </c>
      <c r="C100" s="67"/>
      <c r="D100" s="68">
        <f t="shared" ref="D100:O100" si="21">+D74+D85+D92+D98</f>
        <v>643600</v>
      </c>
      <c r="E100" s="70">
        <f t="shared" si="21"/>
        <v>4082444.9979219506</v>
      </c>
      <c r="F100" s="70">
        <f t="shared" si="21"/>
        <v>51000</v>
      </c>
      <c r="G100" s="70">
        <f t="shared" si="21"/>
        <v>202163.58499999999</v>
      </c>
      <c r="H100" s="70">
        <f t="shared" si="21"/>
        <v>960000</v>
      </c>
      <c r="I100" s="70">
        <f t="shared" si="21"/>
        <v>527289.57999999996</v>
      </c>
      <c r="J100" s="70">
        <f t="shared" si="21"/>
        <v>0</v>
      </c>
      <c r="K100" s="70">
        <f t="shared" si="21"/>
        <v>165120</v>
      </c>
      <c r="L100" s="70">
        <f t="shared" si="21"/>
        <v>0</v>
      </c>
      <c r="M100" s="70">
        <f t="shared" si="21"/>
        <v>5988018.1629219502</v>
      </c>
      <c r="N100" s="70">
        <f t="shared" si="21"/>
        <v>194523.20255788995</v>
      </c>
      <c r="O100" s="70">
        <f t="shared" si="21"/>
        <v>6182541.3654798409</v>
      </c>
      <c r="P100" s="69"/>
      <c r="Q100" s="51"/>
    </row>
    <row r="101" spans="1:17">
      <c r="P101" s="7"/>
      <c r="Q101" s="49"/>
    </row>
    <row r="102" spans="1:17" s="18" customFormat="1">
      <c r="A102" s="18" t="s">
        <v>40</v>
      </c>
      <c r="B102" s="78" t="s">
        <v>14</v>
      </c>
      <c r="C102" s="79"/>
      <c r="D102" s="80">
        <f t="shared" ref="D102:O102" si="22">+D51+D61+D100</f>
        <v>740400</v>
      </c>
      <c r="E102" s="81">
        <f t="shared" si="22"/>
        <v>4836488.9374906281</v>
      </c>
      <c r="F102" s="81">
        <f t="shared" si="22"/>
        <v>87000</v>
      </c>
      <c r="G102" s="81">
        <f t="shared" si="22"/>
        <v>243288.45624999999</v>
      </c>
      <c r="H102" s="81">
        <f t="shared" si="22"/>
        <v>1272928.1499999999</v>
      </c>
      <c r="I102" s="81">
        <f t="shared" si="22"/>
        <v>673774.53999999992</v>
      </c>
      <c r="J102" s="81">
        <f t="shared" si="22"/>
        <v>0</v>
      </c>
      <c r="K102" s="81">
        <f t="shared" si="22"/>
        <v>194260</v>
      </c>
      <c r="L102" s="81">
        <f t="shared" si="22"/>
        <v>0</v>
      </c>
      <c r="M102" s="81">
        <f t="shared" si="22"/>
        <v>7307740.0837406274</v>
      </c>
      <c r="N102" s="81">
        <f t="shared" si="22"/>
        <v>233486.32709341135</v>
      </c>
      <c r="O102" s="81">
        <f t="shared" si="22"/>
        <v>7541226.4108340396</v>
      </c>
      <c r="P102" s="24"/>
      <c r="Q102" s="51"/>
    </row>
    <row r="103" spans="1:17">
      <c r="P103" s="7"/>
      <c r="Q103" s="49"/>
    </row>
    <row r="104" spans="1:17">
      <c r="Q104" s="21"/>
    </row>
    <row r="105" spans="1:17">
      <c r="D105" s="17">
        <f>+D9+D16+D23+D29+D40+D49+D59+D74+D85+D92+D98</f>
        <v>740400</v>
      </c>
      <c r="E105" s="17">
        <f t="shared" ref="E105:O105" si="23">+E9+E16+E23+E29+E40+E49+E59+E74+E85+E92+E98</f>
        <v>4836488.9374906281</v>
      </c>
      <c r="F105" s="17">
        <f t="shared" si="23"/>
        <v>87000</v>
      </c>
      <c r="G105" s="17">
        <f t="shared" si="23"/>
        <v>243288.45624999999</v>
      </c>
      <c r="H105" s="17">
        <f t="shared" si="23"/>
        <v>1272928.1499999999</v>
      </c>
      <c r="I105" s="17">
        <f t="shared" si="23"/>
        <v>673774.54</v>
      </c>
      <c r="J105" s="17">
        <f t="shared" si="23"/>
        <v>0</v>
      </c>
      <c r="K105" s="17">
        <f t="shared" si="23"/>
        <v>194260</v>
      </c>
      <c r="L105" s="17">
        <f t="shared" si="23"/>
        <v>0</v>
      </c>
      <c r="M105" s="17">
        <f t="shared" si="23"/>
        <v>7307740.0837406274</v>
      </c>
      <c r="N105" s="17">
        <f t="shared" si="23"/>
        <v>233486.32709341135</v>
      </c>
      <c r="O105" s="17">
        <f t="shared" si="23"/>
        <v>7541226.4108340396</v>
      </c>
      <c r="P105" s="17"/>
      <c r="Q105" s="17"/>
    </row>
    <row r="106" spans="1:17">
      <c r="I106" s="64">
        <f>-I74</f>
        <v>-182900.71</v>
      </c>
      <c r="Q106" s="21"/>
    </row>
    <row r="107" spans="1:17">
      <c r="Q107" s="21"/>
    </row>
    <row r="108" spans="1:17">
      <c r="Q108" s="21"/>
    </row>
    <row r="109" spans="1:17">
      <c r="Q109" s="21"/>
    </row>
    <row r="110" spans="1:17">
      <c r="Q110" s="21"/>
    </row>
    <row r="111" spans="1:17">
      <c r="Q111" s="21"/>
    </row>
    <row r="112" spans="1:17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17:17">
      <c r="Q129" s="21"/>
    </row>
    <row r="130" spans="17:17">
      <c r="Q130" s="21"/>
    </row>
    <row r="131" spans="17:17">
      <c r="Q131" s="21"/>
    </row>
    <row r="132" spans="17:17">
      <c r="Q132" s="21"/>
    </row>
    <row r="133" spans="17:17">
      <c r="Q133" s="21"/>
    </row>
    <row r="134" spans="17:17">
      <c r="Q134" s="21"/>
    </row>
    <row r="135" spans="17:17">
      <c r="Q135" s="21"/>
    </row>
    <row r="136" spans="17:17">
      <c r="Q136" s="21"/>
    </row>
    <row r="137" spans="17:17">
      <c r="Q137" s="21"/>
    </row>
    <row r="138" spans="17:17">
      <c r="Q138" s="21"/>
    </row>
    <row r="139" spans="17:17">
      <c r="Q139" s="21"/>
    </row>
    <row r="140" spans="17:17">
      <c r="Q140" s="21"/>
    </row>
    <row r="141" spans="17:17">
      <c r="Q141" s="21"/>
    </row>
    <row r="142" spans="17:17">
      <c r="Q142" s="21"/>
    </row>
    <row r="143" spans="17:17">
      <c r="Q143" s="21"/>
    </row>
    <row r="144" spans="17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  <row r="400" spans="17:17">
      <c r="Q400" s="21"/>
    </row>
    <row r="401" spans="17:17">
      <c r="Q401" s="21"/>
    </row>
    <row r="402" spans="17:17">
      <c r="Q402" s="21"/>
    </row>
    <row r="403" spans="17:17">
      <c r="Q403" s="21"/>
    </row>
    <row r="404" spans="17:17">
      <c r="Q404" s="21"/>
    </row>
    <row r="405" spans="17:17">
      <c r="Q405" s="21"/>
    </row>
    <row r="406" spans="17:17">
      <c r="Q406" s="21"/>
    </row>
    <row r="407" spans="17:17">
      <c r="Q407" s="21"/>
    </row>
    <row r="408" spans="17:17">
      <c r="Q408" s="21"/>
    </row>
    <row r="409" spans="17:17">
      <c r="Q409" s="21"/>
    </row>
    <row r="410" spans="17:17">
      <c r="Q410" s="21"/>
    </row>
    <row r="411" spans="17:17">
      <c r="Q411" s="21"/>
    </row>
    <row r="412" spans="17:17">
      <c r="Q412" s="21"/>
    </row>
    <row r="413" spans="17:17">
      <c r="Q413" s="21"/>
    </row>
    <row r="414" spans="17:17">
      <c r="Q414" s="21"/>
    </row>
    <row r="415" spans="17:17">
      <c r="Q415" s="21"/>
    </row>
    <row r="416" spans="17:17">
      <c r="Q416" s="21"/>
    </row>
    <row r="417" spans="17:17">
      <c r="Q417" s="21"/>
    </row>
    <row r="418" spans="17:17">
      <c r="Q418" s="21"/>
    </row>
    <row r="419" spans="17:17">
      <c r="Q419" s="21"/>
    </row>
    <row r="420" spans="17:17">
      <c r="Q420" s="21"/>
    </row>
    <row r="421" spans="17:17">
      <c r="Q421" s="21"/>
    </row>
    <row r="422" spans="17:17">
      <c r="Q422" s="21"/>
    </row>
    <row r="423" spans="17:17">
      <c r="Q423" s="21"/>
    </row>
    <row r="424" spans="17:17">
      <c r="Q424" s="21"/>
    </row>
    <row r="425" spans="17:17">
      <c r="Q425" s="21"/>
    </row>
    <row r="426" spans="17:17">
      <c r="Q426" s="21"/>
    </row>
    <row r="427" spans="17:17">
      <c r="Q427" s="21"/>
    </row>
    <row r="428" spans="17:17">
      <c r="Q428" s="21"/>
    </row>
    <row r="429" spans="17:17">
      <c r="Q429" s="21"/>
    </row>
    <row r="430" spans="17:17">
      <c r="Q430" s="21"/>
    </row>
    <row r="431" spans="17:17">
      <c r="Q431" s="21"/>
    </row>
    <row r="432" spans="17:17">
      <c r="Q432" s="21"/>
    </row>
    <row r="433" spans="17:17">
      <c r="Q433" s="21"/>
    </row>
    <row r="434" spans="17:17">
      <c r="Q434" s="21"/>
    </row>
    <row r="435" spans="17:17">
      <c r="Q435" s="21"/>
    </row>
    <row r="436" spans="17:17">
      <c r="Q436" s="21"/>
    </row>
    <row r="437" spans="17:17">
      <c r="Q437" s="21"/>
    </row>
    <row r="438" spans="17:17">
      <c r="Q438" s="21"/>
    </row>
    <row r="439" spans="17:17">
      <c r="Q439" s="21"/>
    </row>
    <row r="440" spans="17:17">
      <c r="Q440" s="21"/>
    </row>
    <row r="441" spans="17:17">
      <c r="Q441" s="21"/>
    </row>
    <row r="442" spans="17:17">
      <c r="Q442" s="21"/>
    </row>
    <row r="443" spans="17:17">
      <c r="Q443" s="21"/>
    </row>
    <row r="444" spans="17:17">
      <c r="Q444" s="21"/>
    </row>
    <row r="445" spans="17:17">
      <c r="Q445" s="21"/>
    </row>
    <row r="446" spans="17:17">
      <c r="Q446" s="21"/>
    </row>
    <row r="447" spans="17:17">
      <c r="Q447" s="21"/>
    </row>
    <row r="448" spans="17:17">
      <c r="Q448" s="21"/>
    </row>
    <row r="449" spans="17:17">
      <c r="Q449" s="21"/>
    </row>
    <row r="450" spans="17:17">
      <c r="Q450" s="21"/>
    </row>
    <row r="451" spans="17:17">
      <c r="Q451" s="21"/>
    </row>
    <row r="452" spans="17:17">
      <c r="Q452" s="21"/>
    </row>
  </sheetData>
  <customSheetViews>
    <customSheetView guid="{08F29437-BBE1-46C0-B84C-12B7ABEF1718}" showPageBreaks="1" printArea="1" view="pageBreakPreview">
      <pane xSplit="3" ySplit="3" topLeftCell="D4" activePane="bottomRight" state="frozen"/>
      <selection pane="bottomRight" activeCell="K31" sqref="K31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6C0BD6A7-6718-429D-82D9-D2FE0341EA2C}" showPageBreaks="1" printArea="1" view="pageBreakPreview">
      <pane xSplit="3" ySplit="3" topLeftCell="D49" activePane="bottomRight" state="frozen"/>
      <selection pane="bottomRight" activeCell="H96" sqref="H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view="pageBreakPreview">
      <pane xSplit="3" ySplit="3" topLeftCell="D31" activePane="bottomRight" state="frozen"/>
      <selection pane="bottomRight" activeCell="K31" sqref="K31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74"/>
  <sheetViews>
    <sheetView view="pageBreakPreview" zoomScaleSheetLayoutView="100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H36" sqref="H36"/>
    </sheetView>
  </sheetViews>
  <sheetFormatPr defaultColWidth="9.21875" defaultRowHeight="10.199999999999999"/>
  <cols>
    <col min="1" max="1" width="22.77734375" style="2" customWidth="1"/>
    <col min="2" max="2" width="8.77734375" style="2" bestFit="1" customWidth="1"/>
    <col min="3" max="3" width="4.44140625" style="6" bestFit="1" customWidth="1"/>
    <col min="4" max="4" width="7.77734375" style="17" bestFit="1" customWidth="1"/>
    <col min="5" max="5" width="13.21875" style="2" bestFit="1" customWidth="1"/>
    <col min="6" max="6" width="15.77734375" style="2" customWidth="1"/>
    <col min="7" max="7" width="11.21875" style="2" bestFit="1" customWidth="1"/>
    <col min="8" max="9" width="13.21875" style="2" bestFit="1" customWidth="1"/>
    <col min="10" max="10" width="15.77734375" style="2" customWidth="1"/>
    <col min="11" max="11" width="11.21875" style="2" bestFit="1" customWidth="1"/>
    <col min="12" max="13" width="13.21875" style="2" bestFit="1" customWidth="1"/>
    <col min="14" max="14" width="11.21875" style="2" bestFit="1" customWidth="1"/>
    <col min="15" max="15" width="13.21875" style="2" bestFit="1" customWidth="1"/>
    <col min="16" max="16" width="8.21875" style="15" customWidth="1"/>
    <col min="17" max="17" width="9.5546875" style="29" bestFit="1" customWidth="1"/>
    <col min="18" max="16384" width="9.21875" style="2"/>
  </cols>
  <sheetData>
    <row r="1" spans="1:17">
      <c r="A1" s="18" t="s">
        <v>1510</v>
      </c>
      <c r="D1" s="17" t="s">
        <v>20</v>
      </c>
    </row>
    <row r="3" spans="1:17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190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191</v>
      </c>
      <c r="K3" s="343" t="s">
        <v>186</v>
      </c>
      <c r="L3" s="344" t="str">
        <f>+mayor!L3</f>
        <v>INTEREST</v>
      </c>
      <c r="M3" s="345" t="s">
        <v>12</v>
      </c>
      <c r="N3" s="343" t="s">
        <v>183</v>
      </c>
      <c r="O3" s="343" t="s">
        <v>182</v>
      </c>
      <c r="P3" s="346" t="s">
        <v>85</v>
      </c>
      <c r="Q3" s="347" t="s">
        <v>11</v>
      </c>
    </row>
    <row r="4" spans="1:17" s="9" customFormat="1" ht="14.25" customHeight="1" thickBot="1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0.8" thickBot="1">
      <c r="A5" s="330" t="s">
        <v>10</v>
      </c>
      <c r="B5" s="331" t="s">
        <v>482</v>
      </c>
      <c r="D5" s="568" t="s">
        <v>257</v>
      </c>
      <c r="E5" s="569"/>
      <c r="F5" s="570"/>
    </row>
    <row r="6" spans="1:17">
      <c r="G6" s="9"/>
      <c r="H6" s="9"/>
      <c r="I6" s="9"/>
      <c r="J6" s="9"/>
      <c r="Q6" s="21"/>
    </row>
    <row r="7" spans="1:17" s="9" customFormat="1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49475.262368815595</v>
      </c>
      <c r="F7" s="37">
        <v>3000</v>
      </c>
      <c r="G7" s="37">
        <f>5500*(1+CALC!$A$2)</f>
        <v>4262.5</v>
      </c>
      <c r="H7" s="37">
        <f>58000</f>
        <v>58000</v>
      </c>
      <c r="I7" s="37">
        <v>15393.84</v>
      </c>
      <c r="J7" s="37"/>
      <c r="K7" s="37">
        <v>960</v>
      </c>
      <c r="L7" s="37"/>
      <c r="M7" s="37">
        <f>SUM(E7:L7)</f>
        <v>131091.6023688156</v>
      </c>
      <c r="N7" s="32">
        <f>M7/CALC!$A$8*CALC!$A$6</f>
        <v>4258.5639567907001</v>
      </c>
      <c r="O7" s="37">
        <f>+M7+N7</f>
        <v>135350.16632560629</v>
      </c>
      <c r="P7" s="48">
        <v>6.67</v>
      </c>
      <c r="Q7" s="49"/>
    </row>
    <row r="8" spans="1:17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49475.262368815595</v>
      </c>
      <c r="F9" s="14">
        <f t="shared" si="0"/>
        <v>3000</v>
      </c>
      <c r="G9" s="14">
        <f t="shared" si="0"/>
        <v>4262.5</v>
      </c>
      <c r="H9" s="14">
        <f t="shared" si="0"/>
        <v>58000</v>
      </c>
      <c r="I9" s="14">
        <f t="shared" si="0"/>
        <v>15393.84</v>
      </c>
      <c r="J9" s="14">
        <f t="shared" si="0"/>
        <v>0</v>
      </c>
      <c r="K9" s="14">
        <f t="shared" si="0"/>
        <v>960</v>
      </c>
      <c r="L9" s="14">
        <f t="shared" si="0"/>
        <v>0</v>
      </c>
      <c r="M9" s="14">
        <f>SUM(M7:M8)</f>
        <v>131091.6023688156</v>
      </c>
      <c r="N9" s="14">
        <f>M9/CALC!$A$8*CALC!$A$6</f>
        <v>4258.5639567907001</v>
      </c>
      <c r="O9" s="14">
        <f>+M9+N9</f>
        <v>135350.16632560629</v>
      </c>
      <c r="P9" s="33"/>
      <c r="Q9" s="135">
        <f>(+O9/D9)*(1+CALC!$A$3)</f>
        <v>9.0233444217070868</v>
      </c>
    </row>
    <row r="10" spans="1:17" s="10" customFormat="1" ht="17.25" customHeight="1" thickBot="1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0.8" thickBot="1">
      <c r="A11" s="330" t="s">
        <v>10</v>
      </c>
      <c r="B11" s="331" t="s">
        <v>483</v>
      </c>
      <c r="D11" s="568" t="s">
        <v>258</v>
      </c>
      <c r="E11" s="569"/>
      <c r="F11" s="570"/>
    </row>
    <row r="12" spans="1:17">
      <c r="G12" s="9"/>
      <c r="H12" s="9"/>
      <c r="I12" s="9"/>
      <c r="J12" s="9"/>
      <c r="Q12" s="21"/>
    </row>
    <row r="13" spans="1:17" s="9" customFormat="1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220000</v>
      </c>
      <c r="F13" s="37">
        <v>3000</v>
      </c>
      <c r="G13" s="37">
        <f>6057.278*(1+CALC!$A$2)</f>
        <v>4694.3904499999999</v>
      </c>
      <c r="H13" s="37">
        <v>40000</v>
      </c>
      <c r="I13" s="37">
        <v>29097.919999999998</v>
      </c>
      <c r="J13" s="37"/>
      <c r="K13" s="37">
        <v>2400</v>
      </c>
      <c r="L13" s="37"/>
      <c r="M13" s="37">
        <f t="shared" ref="M13:M22" si="1">SUM(E13:L13)</f>
        <v>299192.31044999999</v>
      </c>
      <c r="N13" s="32">
        <f>M13/CALC!$A$8*CALC!$A$6</f>
        <v>9719.3837469973332</v>
      </c>
      <c r="O13" s="37">
        <f t="shared" ref="O13:O22" si="2">+M13+N13</f>
        <v>308911.69419699733</v>
      </c>
      <c r="P13" s="48">
        <v>2</v>
      </c>
      <c r="Q13" s="49"/>
    </row>
    <row r="14" spans="1:17" s="9" customFormat="1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198000</v>
      </c>
      <c r="F14" s="37">
        <v>3000</v>
      </c>
      <c r="G14" s="37">
        <f>6057.278*(1+CALC!$A$2)</f>
        <v>4694.3904499999999</v>
      </c>
      <c r="H14" s="37">
        <v>40000</v>
      </c>
      <c r="I14" s="37">
        <v>29097.919999999998</v>
      </c>
      <c r="J14" s="37"/>
      <c r="K14" s="37">
        <v>2400</v>
      </c>
      <c r="L14" s="37"/>
      <c r="M14" s="37">
        <f t="shared" si="1"/>
        <v>277192.31044999999</v>
      </c>
      <c r="N14" s="32">
        <f>M14/CALC!$A$8*CALC!$A$6</f>
        <v>9004.7048098537416</v>
      </c>
      <c r="O14" s="37">
        <f t="shared" si="2"/>
        <v>286197.01525985374</v>
      </c>
      <c r="P14" s="48">
        <v>2</v>
      </c>
      <c r="Q14" s="49"/>
    </row>
    <row r="15" spans="1:17" s="9" customFormat="1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110000</v>
      </c>
      <c r="F15" s="37">
        <v>3000</v>
      </c>
      <c r="G15" s="37">
        <f>6057.278*(1+CALC!$A$2)</f>
        <v>4694.3904499999999</v>
      </c>
      <c r="H15" s="37">
        <v>40000</v>
      </c>
      <c r="I15" s="37">
        <v>29097.919999999998</v>
      </c>
      <c r="J15" s="37"/>
      <c r="K15" s="37">
        <v>2400</v>
      </c>
      <c r="L15" s="37"/>
      <c r="M15" s="37">
        <f t="shared" si="1"/>
        <v>189192.31044999999</v>
      </c>
      <c r="N15" s="32">
        <f>M15/CALC!$A$8*CALC!$A$6</f>
        <v>6145.9890612793788</v>
      </c>
      <c r="O15" s="37">
        <f t="shared" si="2"/>
        <v>195338.29951127936</v>
      </c>
      <c r="P15" s="48">
        <v>2</v>
      </c>
      <c r="Q15" s="49"/>
    </row>
    <row r="16" spans="1:17" s="9" customFormat="1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110000</v>
      </c>
      <c r="F16" s="37">
        <v>3000</v>
      </c>
      <c r="G16" s="37">
        <f>6057.278*(1+CALC!$A$2)</f>
        <v>4694.3904499999999</v>
      </c>
      <c r="H16" s="37">
        <v>40000</v>
      </c>
      <c r="I16" s="566">
        <v>30000</v>
      </c>
      <c r="J16" s="37"/>
      <c r="K16" s="37">
        <v>2400</v>
      </c>
      <c r="L16" s="37"/>
      <c r="M16" s="37">
        <f t="shared" si="1"/>
        <v>190094.39045000001</v>
      </c>
      <c r="N16" s="32">
        <f>M16/CALC!$A$8*CALC!$A$6</f>
        <v>6175.2934965347649</v>
      </c>
      <c r="O16" s="37">
        <f t="shared" si="2"/>
        <v>196269.68394653476</v>
      </c>
      <c r="P16" s="48">
        <v>2</v>
      </c>
      <c r="Q16" s="49"/>
    </row>
    <row r="17" spans="1:17" s="9" customFormat="1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165000</v>
      </c>
      <c r="F17" s="37">
        <v>3000</v>
      </c>
      <c r="G17" s="37">
        <f>6057.278*(1+CALC!$A$2)</f>
        <v>4694.3904499999999</v>
      </c>
      <c r="H17" s="37">
        <v>40000</v>
      </c>
      <c r="I17" s="37">
        <v>29322.53</v>
      </c>
      <c r="J17" s="37"/>
      <c r="K17" s="37">
        <v>2400</v>
      </c>
      <c r="L17" s="37"/>
      <c r="M17" s="37">
        <f t="shared" si="1"/>
        <v>244416.92045000001</v>
      </c>
      <c r="N17" s="32">
        <f>M17/CALC!$A$8*CALC!$A$6</f>
        <v>7939.9829512325305</v>
      </c>
      <c r="O17" s="37">
        <f t="shared" si="2"/>
        <v>252356.90340123253</v>
      </c>
      <c r="P17" s="48">
        <v>2</v>
      </c>
      <c r="Q17" s="49"/>
    </row>
    <row r="18" spans="1:17" s="9" customFormat="1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110000</v>
      </c>
      <c r="F18" s="37">
        <v>3000</v>
      </c>
      <c r="G18" s="37">
        <f>6057.278*(1+CALC!$A$2)</f>
        <v>4694.3904499999999</v>
      </c>
      <c r="H18" s="37">
        <v>40000</v>
      </c>
      <c r="I18" s="37">
        <v>22476.75</v>
      </c>
      <c r="J18" s="37"/>
      <c r="K18" s="37">
        <v>2400</v>
      </c>
      <c r="L18" s="37"/>
      <c r="M18" s="37">
        <f t="shared" si="1"/>
        <v>182571.14045000001</v>
      </c>
      <c r="N18" s="32">
        <f>M18/CALC!$A$8*CALC!$A$6</f>
        <v>5930.897664086332</v>
      </c>
      <c r="O18" s="37">
        <f t="shared" si="2"/>
        <v>188502.03811408635</v>
      </c>
      <c r="P18" s="48">
        <v>2</v>
      </c>
      <c r="Q18" s="49"/>
    </row>
    <row r="19" spans="1:17" s="9" customFormat="1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275000</v>
      </c>
      <c r="F19" s="37">
        <v>3000</v>
      </c>
      <c r="G19" s="37">
        <f>6057.278*(1+CALC!$A$2)</f>
        <v>4694.3904499999999</v>
      </c>
      <c r="H19" s="37">
        <v>40000</v>
      </c>
      <c r="I19" s="37">
        <v>29322.53</v>
      </c>
      <c r="J19" s="37"/>
      <c r="K19" s="37">
        <v>2400</v>
      </c>
      <c r="L19" s="37"/>
      <c r="M19" s="37">
        <f t="shared" si="1"/>
        <v>354416.92044999998</v>
      </c>
      <c r="N19" s="32">
        <f>M19/CALC!$A$8*CALC!$A$6</f>
        <v>11513.377636950485</v>
      </c>
      <c r="O19" s="37">
        <f t="shared" si="2"/>
        <v>365930.29808695044</v>
      </c>
      <c r="P19" s="48">
        <v>2</v>
      </c>
      <c r="Q19" s="49"/>
    </row>
    <row r="20" spans="1:17" s="9" customFormat="1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110000</v>
      </c>
      <c r="F20" s="37">
        <v>3000</v>
      </c>
      <c r="G20" s="37">
        <f>6057.278*(1+CALC!$A$2)</f>
        <v>4694.3904499999999</v>
      </c>
      <c r="H20" s="37">
        <v>40000</v>
      </c>
      <c r="I20" s="37">
        <v>29941.200000000001</v>
      </c>
      <c r="J20" s="37"/>
      <c r="K20" s="37">
        <v>2400</v>
      </c>
      <c r="L20" s="37"/>
      <c r="M20" s="37">
        <f t="shared" si="1"/>
        <v>190035.59045000002</v>
      </c>
      <c r="N20" s="32">
        <f>M20/CALC!$A$8*CALC!$A$6</f>
        <v>6173.3833546482174</v>
      </c>
      <c r="O20" s="37">
        <f t="shared" si="2"/>
        <v>196208.97380464824</v>
      </c>
      <c r="P20" s="48">
        <v>2</v>
      </c>
      <c r="Q20" s="49"/>
    </row>
    <row r="21" spans="1:17" s="9" customFormat="1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110000</v>
      </c>
      <c r="F21" s="37">
        <v>3000</v>
      </c>
      <c r="G21" s="37">
        <f>6057.278*(1+CALC!$A$2)</f>
        <v>4694.3904499999999</v>
      </c>
      <c r="H21" s="37">
        <v>40000</v>
      </c>
      <c r="I21" s="37">
        <v>22476.75</v>
      </c>
      <c r="J21" s="37"/>
      <c r="K21" s="37">
        <v>2400</v>
      </c>
      <c r="L21" s="37"/>
      <c r="M21" s="37">
        <f t="shared" si="1"/>
        <v>182571.14045000001</v>
      </c>
      <c r="N21" s="32">
        <f>M21/CALC!$A$8*CALC!$A$6</f>
        <v>5930.897664086332</v>
      </c>
      <c r="O21" s="37">
        <f t="shared" si="2"/>
        <v>188502.03811408635</v>
      </c>
      <c r="P21" s="48">
        <v>2</v>
      </c>
      <c r="Q21" s="49"/>
    </row>
    <row r="22" spans="1:17" s="9" customFormat="1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110000</v>
      </c>
      <c r="F22" s="37">
        <v>3000</v>
      </c>
      <c r="G22" s="37">
        <f>6057.278*(1+CALC!$A$2)</f>
        <v>4694.3904499999999</v>
      </c>
      <c r="H22" s="37">
        <v>40000</v>
      </c>
      <c r="I22" s="37">
        <v>22476.75</v>
      </c>
      <c r="J22" s="37"/>
      <c r="K22" s="37">
        <v>2400</v>
      </c>
      <c r="L22" s="37"/>
      <c r="M22" s="37">
        <f t="shared" si="1"/>
        <v>182571.14045000001</v>
      </c>
      <c r="N22" s="32">
        <f>M22/CALC!$A$8*CALC!$A$6</f>
        <v>5930.897664086332</v>
      </c>
      <c r="O22" s="37">
        <f t="shared" si="2"/>
        <v>188502.03811408635</v>
      </c>
      <c r="P22" s="48">
        <v>2</v>
      </c>
      <c r="Q22" s="49"/>
    </row>
    <row r="23" spans="1:17" s="9" customFormat="1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>
      <c r="A24" s="4"/>
      <c r="B24" s="4" t="s">
        <v>14</v>
      </c>
      <c r="C24" s="26"/>
      <c r="D24" s="16">
        <f t="shared" ref="D24:M24" si="3">SUM(D13:D23)</f>
        <v>138000</v>
      </c>
      <c r="E24" s="14">
        <f t="shared" si="3"/>
        <v>1518000</v>
      </c>
      <c r="F24" s="14">
        <f t="shared" si="3"/>
        <v>30000</v>
      </c>
      <c r="G24" s="14">
        <f t="shared" si="3"/>
        <v>46943.904499999997</v>
      </c>
      <c r="H24" s="14">
        <f t="shared" si="3"/>
        <v>400000</v>
      </c>
      <c r="I24" s="14">
        <f t="shared" si="3"/>
        <v>273310.27</v>
      </c>
      <c r="J24" s="14">
        <f t="shared" si="3"/>
        <v>0</v>
      </c>
      <c r="K24" s="14">
        <f t="shared" si="3"/>
        <v>24000</v>
      </c>
      <c r="L24" s="14">
        <f t="shared" si="3"/>
        <v>0</v>
      </c>
      <c r="M24" s="14">
        <f t="shared" si="3"/>
        <v>2292254.1744999997</v>
      </c>
      <c r="N24" s="14">
        <f>M24/CALC!$A$8*CALC!$A$6</f>
        <v>74464.808049755447</v>
      </c>
      <c r="O24" s="14">
        <f>+M24+N24</f>
        <v>2366718.9825497554</v>
      </c>
      <c r="P24" s="33"/>
      <c r="Q24" s="135">
        <f>(+O24/D24)*(1+CALC!$A$3)</f>
        <v>17.150137554708373</v>
      </c>
    </row>
    <row r="26" spans="1:17" ht="10.8" thickBot="1"/>
    <row r="27" spans="1:17" ht="10.8" thickBot="1">
      <c r="A27" s="330" t="s">
        <v>10</v>
      </c>
      <c r="B27" s="331" t="s">
        <v>484</v>
      </c>
      <c r="D27" s="568" t="s">
        <v>259</v>
      </c>
      <c r="E27" s="569"/>
      <c r="F27" s="570"/>
    </row>
    <row r="28" spans="1:17">
      <c r="G28" s="9"/>
      <c r="H28" s="9"/>
      <c r="I28" s="9"/>
      <c r="J28" s="9"/>
      <c r="Q28" s="21"/>
    </row>
    <row r="29" spans="1:17" s="561" customFormat="1">
      <c r="A29" s="554" t="str">
        <f>+'1-10'!C29</f>
        <v>NISSAN NP 300 4X4 [173]</v>
      </c>
      <c r="B29" s="554" t="str">
        <f>+'1-10'!R29</f>
        <v>CLW 529 L</v>
      </c>
      <c r="C29" s="555" t="s">
        <v>330</v>
      </c>
      <c r="D29" s="556">
        <v>10000</v>
      </c>
      <c r="E29" s="557">
        <f>+D29/P29*(CALC!$A$4)</f>
        <v>24202.4202420242</v>
      </c>
      <c r="F29" s="558">
        <v>3000</v>
      </c>
      <c r="G29" s="558">
        <f>5500*(1+CALC!$A$2)</f>
        <v>4262.5</v>
      </c>
      <c r="H29" s="558">
        <f>8000*(1+CALC!$A$2)</f>
        <v>6200</v>
      </c>
      <c r="I29" s="558">
        <v>23878.29</v>
      </c>
      <c r="J29" s="558"/>
      <c r="K29" s="558">
        <v>1200</v>
      </c>
      <c r="L29" s="558"/>
      <c r="M29" s="558">
        <f t="shared" ref="M29:M47" si="4">SUM(E29:L29)</f>
        <v>62743.210242024201</v>
      </c>
      <c r="N29" s="558">
        <f>M29/CALC!$A$8*CALC!$A$6</f>
        <v>2038.2386731248519</v>
      </c>
      <c r="O29" s="558">
        <f t="shared" ref="O29:O47" si="5">+M29+N29</f>
        <v>64781.448915149056</v>
      </c>
      <c r="P29" s="559">
        <v>9.09</v>
      </c>
      <c r="Q29" s="560"/>
    </row>
    <row r="30" spans="1:17" s="9" customFormat="1">
      <c r="A30" s="284" t="str">
        <f>+'1-10'!C30</f>
        <v>NISSAN NP 300 4X4 [173]</v>
      </c>
      <c r="B30" s="284" t="str">
        <f>+'1-10'!R30</f>
        <v>CLW 557 L</v>
      </c>
      <c r="C30" s="348" t="s">
        <v>260</v>
      </c>
      <c r="D30" s="46">
        <v>38000</v>
      </c>
      <c r="E30" s="62">
        <f>+D30/P30*(CALC!$A$4)</f>
        <v>91969.196919691967</v>
      </c>
      <c r="F30" s="37">
        <v>3000</v>
      </c>
      <c r="G30" s="37">
        <f>5500*(1+CALC!$A$2)</f>
        <v>4262.5</v>
      </c>
      <c r="H30" s="37">
        <f>58000</f>
        <v>58000</v>
      </c>
      <c r="I30" s="37">
        <v>23878.29</v>
      </c>
      <c r="J30" s="37"/>
      <c r="K30" s="37">
        <v>1200</v>
      </c>
      <c r="L30" s="37"/>
      <c r="M30" s="37">
        <f t="shared" si="4"/>
        <v>182309.98691969199</v>
      </c>
      <c r="N30" s="37">
        <f>M30/CALC!$A$8*CALC!$A$6</f>
        <v>5922.4139855648855</v>
      </c>
      <c r="O30" s="37">
        <f t="shared" si="5"/>
        <v>188232.40090525689</v>
      </c>
      <c r="P30" s="48">
        <v>9.09</v>
      </c>
      <c r="Q30" s="49"/>
    </row>
    <row r="31" spans="1:17" s="9" customFormat="1">
      <c r="A31" s="284" t="str">
        <f>+'1-10'!C31</f>
        <v>NISSAN NP 300 4X4 [173]</v>
      </c>
      <c r="B31" s="284" t="str">
        <f>+'1-10'!R31</f>
        <v>CLW 563 L</v>
      </c>
      <c r="C31" s="348" t="s">
        <v>261</v>
      </c>
      <c r="D31" s="46">
        <v>40000</v>
      </c>
      <c r="E31" s="62">
        <f>+D31/P31*(CALC!$A$4)</f>
        <v>96809.6809680968</v>
      </c>
      <c r="F31" s="37">
        <v>3000</v>
      </c>
      <c r="G31" s="37">
        <f>5500*(1+CALC!$A$2)</f>
        <v>4262.5</v>
      </c>
      <c r="H31" s="37">
        <f>58000</f>
        <v>58000</v>
      </c>
      <c r="I31" s="37">
        <v>23928.17</v>
      </c>
      <c r="J31" s="37"/>
      <c r="K31" s="37">
        <v>1200</v>
      </c>
      <c r="L31" s="37"/>
      <c r="M31" s="37">
        <f t="shared" si="4"/>
        <v>187200.35096809681</v>
      </c>
      <c r="N31" s="37">
        <f>M31/CALC!$A$8*CALC!$A$6</f>
        <v>6081.2794483084845</v>
      </c>
      <c r="O31" s="37">
        <f t="shared" si="5"/>
        <v>193281.6304164053</v>
      </c>
      <c r="P31" s="48">
        <v>9.09</v>
      </c>
      <c r="Q31" s="49"/>
    </row>
    <row r="32" spans="1:17" s="561" customFormat="1">
      <c r="A32" s="554" t="str">
        <f>+'1-10'!C32</f>
        <v>NISSAN NP 300 4X4 [173]</v>
      </c>
      <c r="B32" s="554" t="str">
        <f>+'1-10'!R32</f>
        <v>CLW 565 L</v>
      </c>
      <c r="C32" s="555" t="s">
        <v>262</v>
      </c>
      <c r="D32" s="556">
        <v>10000</v>
      </c>
      <c r="E32" s="557">
        <f>+D32/P32*(CALC!$A$4)</f>
        <v>24202.4202420242</v>
      </c>
      <c r="F32" s="558">
        <v>3000</v>
      </c>
      <c r="G32" s="558">
        <f>5500*(1+CALC!$A$2)</f>
        <v>4262.5</v>
      </c>
      <c r="H32" s="558">
        <f>8000*(1+CALC!$A$2)</f>
        <v>6200</v>
      </c>
      <c r="I32" s="558">
        <v>23928.17</v>
      </c>
      <c r="J32" s="558"/>
      <c r="K32" s="37">
        <v>1200</v>
      </c>
      <c r="L32" s="558"/>
      <c r="M32" s="558">
        <f t="shared" si="4"/>
        <v>62793.090242024198</v>
      </c>
      <c r="N32" s="558">
        <f>M32/CALC!$A$8*CALC!$A$6</f>
        <v>2039.8590451877933</v>
      </c>
      <c r="O32" s="558">
        <f t="shared" si="5"/>
        <v>64832.949287211988</v>
      </c>
      <c r="P32" s="559">
        <v>9.09</v>
      </c>
      <c r="Q32" s="560"/>
    </row>
    <row r="33" spans="1:17" s="561" customFormat="1">
      <c r="A33" s="554" t="str">
        <f>+'1-10'!C33</f>
        <v>NISSAN NP 300 4X4 [173]</v>
      </c>
      <c r="B33" s="554" t="str">
        <f>+'1-10'!R33</f>
        <v>CLW 523 L</v>
      </c>
      <c r="C33" s="555" t="s">
        <v>263</v>
      </c>
      <c r="D33" s="556">
        <v>10000</v>
      </c>
      <c r="E33" s="557">
        <f>+D33/P33*(CALC!$A$4)</f>
        <v>24202.4202420242</v>
      </c>
      <c r="F33" s="558">
        <v>3000</v>
      </c>
      <c r="G33" s="558">
        <f>5500*(1+CALC!$A$2)</f>
        <v>4262.5</v>
      </c>
      <c r="H33" s="558">
        <f>8000*(1+CALC!$A$2)</f>
        <v>6200</v>
      </c>
      <c r="I33" s="558">
        <v>23928.17</v>
      </c>
      <c r="J33" s="558"/>
      <c r="K33" s="37">
        <v>1200</v>
      </c>
      <c r="L33" s="558"/>
      <c r="M33" s="558">
        <f t="shared" si="4"/>
        <v>62793.090242024198</v>
      </c>
      <c r="N33" s="558">
        <f>M33/CALC!$A$8*CALC!$A$6</f>
        <v>2039.8590451877933</v>
      </c>
      <c r="O33" s="558">
        <f t="shared" si="5"/>
        <v>64832.949287211988</v>
      </c>
      <c r="P33" s="559">
        <v>9.09</v>
      </c>
      <c r="Q33" s="560"/>
    </row>
    <row r="34" spans="1:17" s="561" customFormat="1">
      <c r="A34" s="554" t="str">
        <f>+'1-10'!C34</f>
        <v>NISSAN NP 300 4X4 [173]</v>
      </c>
      <c r="B34" s="554" t="str">
        <f>+'1-10'!R34</f>
        <v>CLW 862 L</v>
      </c>
      <c r="C34" s="555" t="s">
        <v>264</v>
      </c>
      <c r="D34" s="556">
        <v>10000</v>
      </c>
      <c r="E34" s="557">
        <f>+D34/P34*(CALC!$A$4)</f>
        <v>24202.4202420242</v>
      </c>
      <c r="F34" s="558">
        <v>3000</v>
      </c>
      <c r="G34" s="558">
        <f>5500*(1+CALC!$A$2)</f>
        <v>4262.5</v>
      </c>
      <c r="H34" s="558">
        <f>8000*(1+CALC!$A$2)</f>
        <v>6200</v>
      </c>
      <c r="I34" s="558">
        <v>23878.29</v>
      </c>
      <c r="J34" s="558"/>
      <c r="K34" s="37">
        <v>1200</v>
      </c>
      <c r="L34" s="558"/>
      <c r="M34" s="558">
        <f t="shared" si="4"/>
        <v>62743.210242024201</v>
      </c>
      <c r="N34" s="558">
        <f>M34/CALC!$A$8*CALC!$A$6</f>
        <v>2038.2386731248519</v>
      </c>
      <c r="O34" s="558">
        <f t="shared" si="5"/>
        <v>64781.448915149056</v>
      </c>
      <c r="P34" s="559">
        <v>9.09</v>
      </c>
      <c r="Q34" s="560"/>
    </row>
    <row r="35" spans="1:17" s="9" customFormat="1">
      <c r="A35" s="284" t="str">
        <f>+'1-10'!C35</f>
        <v>NISSAN NP 300 4X4 [173]</v>
      </c>
      <c r="B35" s="284" t="str">
        <f>+'1-10'!R35</f>
        <v>CLW 860 L</v>
      </c>
      <c r="C35" s="348" t="s">
        <v>265</v>
      </c>
      <c r="D35" s="46">
        <v>20000</v>
      </c>
      <c r="E35" s="62">
        <f>+D35/P35*(CALC!$A$4)</f>
        <v>48404.8404840484</v>
      </c>
      <c r="F35" s="37">
        <v>3000</v>
      </c>
      <c r="G35" s="37">
        <f>5500*(1+CALC!$A$2)</f>
        <v>4262.5</v>
      </c>
      <c r="H35" s="37">
        <f>58000</f>
        <v>58000</v>
      </c>
      <c r="I35" s="37">
        <v>23969.439999999999</v>
      </c>
      <c r="J35" s="37"/>
      <c r="K35" s="37">
        <v>1200</v>
      </c>
      <c r="L35" s="37"/>
      <c r="M35" s="37">
        <f t="shared" si="4"/>
        <v>138836.78048404839</v>
      </c>
      <c r="N35" s="37">
        <f>M35/CALC!$A$8*CALC!$A$6</f>
        <v>4510.1692142171714</v>
      </c>
      <c r="O35" s="37">
        <f t="shared" si="5"/>
        <v>143346.94969826555</v>
      </c>
      <c r="P35" s="48">
        <v>9.09</v>
      </c>
      <c r="Q35" s="49"/>
    </row>
    <row r="36" spans="1:17" s="561" customFormat="1">
      <c r="A36" s="554" t="str">
        <f>+'1-10'!C36</f>
        <v>NISSAN NP 300 4X4 [173]</v>
      </c>
      <c r="B36" s="554" t="str">
        <f>+'1-10'!R36</f>
        <v>CLW 856 L</v>
      </c>
      <c r="C36" s="555" t="s">
        <v>266</v>
      </c>
      <c r="D36" s="556">
        <v>10000</v>
      </c>
      <c r="E36" s="557">
        <f>+D36/P36*(CALC!$A$4)</f>
        <v>24202.4202420242</v>
      </c>
      <c r="F36" s="558">
        <v>3000</v>
      </c>
      <c r="G36" s="558">
        <f>5500*(1+CALC!$A$2)</f>
        <v>4262.5</v>
      </c>
      <c r="H36" s="558">
        <f>8000*(1+CALC!$A$2)</f>
        <v>6200</v>
      </c>
      <c r="I36" s="558">
        <v>23878.29</v>
      </c>
      <c r="J36" s="558"/>
      <c r="K36" s="37">
        <v>1200</v>
      </c>
      <c r="L36" s="558"/>
      <c r="M36" s="558">
        <f t="shared" si="4"/>
        <v>62743.210242024201</v>
      </c>
      <c r="N36" s="558">
        <f>M36/CALC!$A$8*CALC!$A$6</f>
        <v>2038.2386731248519</v>
      </c>
      <c r="O36" s="558">
        <f t="shared" si="5"/>
        <v>64781.448915149056</v>
      </c>
      <c r="P36" s="559">
        <v>9.09</v>
      </c>
      <c r="Q36" s="560"/>
    </row>
    <row r="37" spans="1:17" s="561" customFormat="1">
      <c r="A37" s="554" t="str">
        <f>+'1-10'!C37</f>
        <v>NISSAN NP 300 4X4 [173]</v>
      </c>
      <c r="B37" s="554" t="str">
        <f>+'1-10'!R37</f>
        <v>CLW 831 L</v>
      </c>
      <c r="C37" s="555" t="s">
        <v>267</v>
      </c>
      <c r="D37" s="556">
        <v>10000</v>
      </c>
      <c r="E37" s="557">
        <f>+D37/P37*(CALC!$A$4)</f>
        <v>24202.4202420242</v>
      </c>
      <c r="F37" s="558">
        <v>3000</v>
      </c>
      <c r="G37" s="558">
        <f>5500*(1+CALC!$A$2)</f>
        <v>4262.5</v>
      </c>
      <c r="H37" s="558">
        <f>8000*(1+CALC!$A$2)</f>
        <v>6200</v>
      </c>
      <c r="I37" s="558">
        <v>23878.29</v>
      </c>
      <c r="J37" s="558"/>
      <c r="K37" s="37">
        <v>1200</v>
      </c>
      <c r="L37" s="558"/>
      <c r="M37" s="558">
        <f t="shared" si="4"/>
        <v>62743.210242024201</v>
      </c>
      <c r="N37" s="558">
        <f>M37/CALC!$A$8*CALC!$A$6</f>
        <v>2038.2386731248519</v>
      </c>
      <c r="O37" s="558">
        <f t="shared" si="5"/>
        <v>64781.448915149056</v>
      </c>
      <c r="P37" s="559">
        <v>9.09</v>
      </c>
      <c r="Q37" s="560"/>
    </row>
    <row r="38" spans="1:17" s="9" customFormat="1">
      <c r="A38" s="284" t="str">
        <f>+'1-10'!C38</f>
        <v>NISSAN NP 300 4X4 [173]</v>
      </c>
      <c r="B38" s="284" t="str">
        <f>+'1-10'!R38</f>
        <v>CLW 837 L</v>
      </c>
      <c r="C38" s="348" t="s">
        <v>268</v>
      </c>
      <c r="D38" s="46">
        <v>20000</v>
      </c>
      <c r="E38" s="62">
        <f>+D38/P38*(CALC!$A$4)</f>
        <v>48404.8404840484</v>
      </c>
      <c r="F38" s="37">
        <v>3000</v>
      </c>
      <c r="G38" s="37">
        <f>5500*(1+CALC!$A$2)</f>
        <v>4262.5</v>
      </c>
      <c r="H38" s="37">
        <f>58000</f>
        <v>58000</v>
      </c>
      <c r="I38" s="37">
        <v>23929.17</v>
      </c>
      <c r="J38" s="37"/>
      <c r="K38" s="37">
        <v>1200</v>
      </c>
      <c r="L38" s="37"/>
      <c r="M38" s="37">
        <f t="shared" si="4"/>
        <v>138796.5104840484</v>
      </c>
      <c r="N38" s="37">
        <f>M38/CALC!$A$8*CALC!$A$6</f>
        <v>4508.8610269081364</v>
      </c>
      <c r="O38" s="37">
        <f t="shared" si="5"/>
        <v>143305.37151095652</v>
      </c>
      <c r="P38" s="48">
        <v>9.09</v>
      </c>
      <c r="Q38" s="49"/>
    </row>
    <row r="39" spans="1:17" s="9" customFormat="1">
      <c r="A39" s="284" t="str">
        <f>+'1-10'!C39</f>
        <v>NISSAN NP 300 4X4 [173]</v>
      </c>
      <c r="B39" s="284" t="str">
        <f>+'1-10'!R39</f>
        <v>CLW 840 L</v>
      </c>
      <c r="C39" s="348" t="s">
        <v>269</v>
      </c>
      <c r="D39" s="46">
        <v>20000</v>
      </c>
      <c r="E39" s="62">
        <f>+D39/P39*(CALC!$A$4)</f>
        <v>48404.8404840484</v>
      </c>
      <c r="F39" s="37">
        <v>3000</v>
      </c>
      <c r="G39" s="37">
        <f>5500*(1+CALC!$A$2)</f>
        <v>4262.5</v>
      </c>
      <c r="H39" s="37">
        <f>58000</f>
        <v>58000</v>
      </c>
      <c r="I39" s="37">
        <v>23903.279999999999</v>
      </c>
      <c r="J39" s="37"/>
      <c r="K39" s="37">
        <v>1200</v>
      </c>
      <c r="L39" s="37"/>
      <c r="M39" s="37">
        <f t="shared" si="4"/>
        <v>138770.62048404838</v>
      </c>
      <c r="N39" s="37">
        <f>M39/CALC!$A$8*CALC!$A$6</f>
        <v>4508.019979740744</v>
      </c>
      <c r="O39" s="37">
        <f t="shared" si="5"/>
        <v>143278.64046378914</v>
      </c>
      <c r="P39" s="48">
        <v>9.09</v>
      </c>
      <c r="Q39" s="49"/>
    </row>
    <row r="40" spans="1:17" s="9" customFormat="1">
      <c r="A40" s="284" t="str">
        <f>+'1-10'!C40</f>
        <v>NISSAN NP 300 4X4 [173]</v>
      </c>
      <c r="B40" s="284" t="str">
        <f>+'1-10'!R40</f>
        <v>CLW 864 L</v>
      </c>
      <c r="C40" s="348" t="s">
        <v>270</v>
      </c>
      <c r="D40" s="46">
        <v>40000</v>
      </c>
      <c r="E40" s="62">
        <f>+D40/P40*(CALC!$A$4)</f>
        <v>96809.6809680968</v>
      </c>
      <c r="F40" s="37">
        <v>3000</v>
      </c>
      <c r="G40" s="37">
        <f>5500*(1+CALC!$A$2)</f>
        <v>4262.5</v>
      </c>
      <c r="H40" s="37">
        <f>58000</f>
        <v>58000</v>
      </c>
      <c r="I40" s="37">
        <v>23928.17</v>
      </c>
      <c r="J40" s="37"/>
      <c r="K40" s="37">
        <v>1200</v>
      </c>
      <c r="L40" s="37"/>
      <c r="M40" s="37">
        <f t="shared" si="4"/>
        <v>187200.35096809681</v>
      </c>
      <c r="N40" s="37">
        <f>M40/CALC!$A$8*CALC!$A$6</f>
        <v>6081.2794483084845</v>
      </c>
      <c r="O40" s="37">
        <f t="shared" si="5"/>
        <v>193281.6304164053</v>
      </c>
      <c r="P40" s="48">
        <v>9.09</v>
      </c>
      <c r="Q40" s="49"/>
    </row>
    <row r="41" spans="1:17" s="9" customFormat="1">
      <c r="A41" s="284" t="str">
        <f>+'1-10'!C41</f>
        <v>NISSAN NP 300 4X4 [173]</v>
      </c>
      <c r="B41" s="284" t="str">
        <f>+'1-10'!R41</f>
        <v>CLW 845 L</v>
      </c>
      <c r="C41" s="348" t="s">
        <v>271</v>
      </c>
      <c r="D41" s="46">
        <v>30000</v>
      </c>
      <c r="E41" s="62">
        <f>+D41/P41*(CALC!$A$4)</f>
        <v>72607.260726072607</v>
      </c>
      <c r="F41" s="37">
        <v>3000</v>
      </c>
      <c r="G41" s="37">
        <f>5500*(1+CALC!$A$2)</f>
        <v>4262.5</v>
      </c>
      <c r="H41" s="37">
        <f>58000</f>
        <v>58000</v>
      </c>
      <c r="I41" s="37">
        <v>23878.29</v>
      </c>
      <c r="J41" s="37"/>
      <c r="K41" s="37">
        <v>1200</v>
      </c>
      <c r="L41" s="37"/>
      <c r="M41" s="37">
        <f t="shared" si="4"/>
        <v>162948.0507260726</v>
      </c>
      <c r="N41" s="37">
        <f>M41/CALC!$A$8*CALC!$A$6</f>
        <v>5293.4336228422517</v>
      </c>
      <c r="O41" s="37">
        <f t="shared" si="5"/>
        <v>168241.48434891485</v>
      </c>
      <c r="P41" s="48">
        <v>9.09</v>
      </c>
      <c r="Q41" s="49"/>
    </row>
    <row r="42" spans="1:17" s="9" customFormat="1">
      <c r="A42" s="61" t="s">
        <v>1504</v>
      </c>
      <c r="B42" s="61" t="s">
        <v>1505</v>
      </c>
      <c r="C42" s="54"/>
      <c r="D42" s="46">
        <v>40000</v>
      </c>
      <c r="E42" s="62">
        <f>+D42/P42*(CALC!$A$4)</f>
        <v>96809.6809680968</v>
      </c>
      <c r="F42" s="37">
        <v>3000</v>
      </c>
      <c r="G42" s="37">
        <f>5500*(1+CALC!$A$2)</f>
        <v>4262.5</v>
      </c>
      <c r="H42" s="37">
        <v>20000</v>
      </c>
      <c r="I42" s="37">
        <v>100000</v>
      </c>
      <c r="J42" s="37"/>
      <c r="K42" s="37">
        <v>1200</v>
      </c>
      <c r="L42" s="37"/>
      <c r="M42" s="37">
        <f t="shared" ref="M42:M46" si="6">SUM(E42:L42)</f>
        <v>225272.1809680968</v>
      </c>
      <c r="N42" s="37">
        <f>M42/CALC!$A$8*CALC!$A$6</f>
        <v>7318.058311922643</v>
      </c>
      <c r="O42" s="37">
        <f t="shared" ref="O42:O46" si="7">+M42+N42</f>
        <v>232590.23928001945</v>
      </c>
      <c r="P42" s="48">
        <v>9.09</v>
      </c>
      <c r="Q42" s="49"/>
    </row>
    <row r="43" spans="1:17" s="9" customFormat="1">
      <c r="A43" s="61" t="s">
        <v>1504</v>
      </c>
      <c r="B43" s="61" t="s">
        <v>1506</v>
      </c>
      <c r="C43" s="54"/>
      <c r="D43" s="46">
        <v>40000</v>
      </c>
      <c r="E43" s="62">
        <f>+D43/P43*(CALC!$A$4)</f>
        <v>96809.6809680968</v>
      </c>
      <c r="F43" s="37">
        <v>3000</v>
      </c>
      <c r="G43" s="37">
        <f>5500*(1+CALC!$A$2)</f>
        <v>4262.5</v>
      </c>
      <c r="H43" s="37">
        <v>20000</v>
      </c>
      <c r="I43" s="37">
        <v>100000</v>
      </c>
      <c r="J43" s="37"/>
      <c r="K43" s="37">
        <v>1200</v>
      </c>
      <c r="L43" s="37"/>
      <c r="M43" s="37">
        <f t="shared" si="6"/>
        <v>225272.1809680968</v>
      </c>
      <c r="N43" s="37">
        <f>M43/CALC!$A$8*CALC!$A$6</f>
        <v>7318.058311922643</v>
      </c>
      <c r="O43" s="37">
        <f t="shared" si="7"/>
        <v>232590.23928001945</v>
      </c>
      <c r="P43" s="48">
        <v>9.09</v>
      </c>
      <c r="Q43" s="49"/>
    </row>
    <row r="44" spans="1:17" s="9" customFormat="1">
      <c r="A44" s="61" t="s">
        <v>1504</v>
      </c>
      <c r="B44" s="61" t="s">
        <v>1507</v>
      </c>
      <c r="C44" s="54"/>
      <c r="D44" s="46">
        <v>40000</v>
      </c>
      <c r="E44" s="62">
        <f>+D44/P44*(CALC!$A$4)</f>
        <v>96809.6809680968</v>
      </c>
      <c r="F44" s="37">
        <v>3000</v>
      </c>
      <c r="G44" s="37">
        <f>5500*(1+CALC!$A$2)</f>
        <v>4262.5</v>
      </c>
      <c r="H44" s="37">
        <v>20000</v>
      </c>
      <c r="I44" s="37">
        <v>100000</v>
      </c>
      <c r="J44" s="37"/>
      <c r="K44" s="37">
        <v>1200</v>
      </c>
      <c r="L44" s="37"/>
      <c r="M44" s="37">
        <f t="shared" si="6"/>
        <v>225272.1809680968</v>
      </c>
      <c r="N44" s="37">
        <f>M44/CALC!$A$8*CALC!$A$6</f>
        <v>7318.058311922643</v>
      </c>
      <c r="O44" s="37">
        <f t="shared" si="7"/>
        <v>232590.23928001945</v>
      </c>
      <c r="P44" s="48">
        <v>9.09</v>
      </c>
      <c r="Q44" s="49"/>
    </row>
    <row r="45" spans="1:17" s="9" customFormat="1">
      <c r="A45" s="61" t="s">
        <v>1504</v>
      </c>
      <c r="B45" s="61" t="s">
        <v>1508</v>
      </c>
      <c r="C45" s="54"/>
      <c r="D45" s="46">
        <v>40000</v>
      </c>
      <c r="E45" s="62">
        <f>+D45/P45*(CALC!$A$4)</f>
        <v>96809.6809680968</v>
      </c>
      <c r="F45" s="37">
        <v>3000</v>
      </c>
      <c r="G45" s="37">
        <f>5500*(1+CALC!$A$2)</f>
        <v>4262.5</v>
      </c>
      <c r="H45" s="37">
        <v>20000</v>
      </c>
      <c r="I45" s="37">
        <v>100000</v>
      </c>
      <c r="J45" s="37"/>
      <c r="K45" s="37">
        <v>1200</v>
      </c>
      <c r="L45" s="37"/>
      <c r="M45" s="37">
        <f t="shared" si="6"/>
        <v>225272.1809680968</v>
      </c>
      <c r="N45" s="37">
        <f>M45/CALC!$A$8*CALC!$A$6</f>
        <v>7318.058311922643</v>
      </c>
      <c r="O45" s="37">
        <f t="shared" si="7"/>
        <v>232590.23928001945</v>
      </c>
      <c r="P45" s="48">
        <v>9.09</v>
      </c>
      <c r="Q45" s="49"/>
    </row>
    <row r="46" spans="1:17" s="9" customFormat="1">
      <c r="A46" s="61" t="s">
        <v>1504</v>
      </c>
      <c r="B46" s="61" t="s">
        <v>1509</v>
      </c>
      <c r="C46" s="54"/>
      <c r="D46" s="46">
        <v>40000</v>
      </c>
      <c r="E46" s="62">
        <f>+D46/P46*(CALC!$A$4)</f>
        <v>96809.6809680968</v>
      </c>
      <c r="F46" s="37">
        <v>3000</v>
      </c>
      <c r="G46" s="37">
        <f>5500*(1+CALC!$A$2)</f>
        <v>4262.5</v>
      </c>
      <c r="H46" s="37">
        <v>20000</v>
      </c>
      <c r="I46" s="37">
        <v>100000</v>
      </c>
      <c r="J46" s="37"/>
      <c r="K46" s="37">
        <v>1200</v>
      </c>
      <c r="L46" s="37"/>
      <c r="M46" s="37">
        <f t="shared" si="6"/>
        <v>225272.1809680968</v>
      </c>
      <c r="N46" s="37">
        <f>M46/CALC!$A$8*CALC!$A$6</f>
        <v>7318.058311922643</v>
      </c>
      <c r="O46" s="37">
        <f t="shared" si="7"/>
        <v>232590.23928001945</v>
      </c>
      <c r="P46" s="48">
        <v>9.09</v>
      </c>
      <c r="Q46" s="49"/>
    </row>
    <row r="47" spans="1:17" s="9" customFormat="1">
      <c r="A47" s="284" t="str">
        <f>+'1-10'!C42</f>
        <v>NISSAN NP 300 4X4 [173]</v>
      </c>
      <c r="B47" s="284" t="str">
        <f>+'1-10'!R42</f>
        <v>CLW 849 L</v>
      </c>
      <c r="C47" s="348" t="s">
        <v>272</v>
      </c>
      <c r="D47" s="46">
        <v>40000</v>
      </c>
      <c r="E47" s="62">
        <f>+D47/P47*(CALC!$A$4)</f>
        <v>96809.6809680968</v>
      </c>
      <c r="F47" s="37">
        <v>3000</v>
      </c>
      <c r="G47" s="37">
        <f>5500*(1+CALC!$A$2)</f>
        <v>4262.5</v>
      </c>
      <c r="H47" s="37">
        <f>58000</f>
        <v>58000</v>
      </c>
      <c r="I47" s="37">
        <v>23878.29</v>
      </c>
      <c r="J47" s="37"/>
      <c r="K47" s="37">
        <v>1200</v>
      </c>
      <c r="L47" s="37"/>
      <c r="M47" s="37">
        <f t="shared" si="4"/>
        <v>187150.47096809681</v>
      </c>
      <c r="N47" s="37">
        <f>M47/CALC!$A$8*CALC!$A$6</f>
        <v>6079.6590762455426</v>
      </c>
      <c r="O47" s="37">
        <f t="shared" si="5"/>
        <v>193230.13004434234</v>
      </c>
      <c r="P47" s="48">
        <v>9.09</v>
      </c>
      <c r="Q47" s="49"/>
    </row>
    <row r="48" spans="1:17" s="18" customFormat="1">
      <c r="A48" s="4"/>
      <c r="B48" s="4" t="s">
        <v>14</v>
      </c>
      <c r="C48" s="26"/>
      <c r="D48" s="16">
        <f t="shared" ref="D48:M48" si="8">SUM(D29:D47)</f>
        <v>508000</v>
      </c>
      <c r="E48" s="14">
        <f t="shared" si="8"/>
        <v>1229482.9482948293</v>
      </c>
      <c r="F48" s="14">
        <f t="shared" si="8"/>
        <v>57000</v>
      </c>
      <c r="G48" s="14">
        <f t="shared" si="8"/>
        <v>80987.5</v>
      </c>
      <c r="H48" s="14">
        <f t="shared" si="8"/>
        <v>601200</v>
      </c>
      <c r="I48" s="14">
        <f t="shared" si="8"/>
        <v>834662.6</v>
      </c>
      <c r="J48" s="14">
        <f t="shared" si="8"/>
        <v>0</v>
      </c>
      <c r="K48" s="14">
        <f t="shared" si="8"/>
        <v>22800</v>
      </c>
      <c r="L48" s="14">
        <f t="shared" si="8"/>
        <v>0</v>
      </c>
      <c r="M48" s="14">
        <f t="shared" si="8"/>
        <v>2826133.0482948297</v>
      </c>
      <c r="N48" s="14">
        <f>M48/CALC!$A$8*CALC!$A$6</f>
        <v>91808.080144623906</v>
      </c>
      <c r="O48" s="14">
        <f>+M48+N48</f>
        <v>2917941.1284394534</v>
      </c>
      <c r="P48" s="33"/>
      <c r="Q48" s="135">
        <f>(+O48/D48)*(1+CALC!$A$3)</f>
        <v>5.743978599290263</v>
      </c>
    </row>
    <row r="49" spans="1:17" ht="10.8" thickBot="1">
      <c r="Q49" s="21"/>
    </row>
    <row r="50" spans="1:17" ht="10.8" thickBot="1">
      <c r="A50" s="330" t="s">
        <v>10</v>
      </c>
      <c r="B50" s="331" t="s">
        <v>147</v>
      </c>
      <c r="D50" s="568" t="s">
        <v>41</v>
      </c>
      <c r="E50" s="569"/>
      <c r="F50" s="570"/>
      <c r="Q50" s="21"/>
    </row>
    <row r="51" spans="1:17">
      <c r="Q51" s="21"/>
    </row>
    <row r="52" spans="1:17" s="549" customFormat="1">
      <c r="A52" s="542" t="s">
        <v>45</v>
      </c>
      <c r="B52" s="542" t="s">
        <v>44</v>
      </c>
      <c r="C52" s="384">
        <v>54</v>
      </c>
      <c r="D52" s="543">
        <v>10</v>
      </c>
      <c r="E52" s="550">
        <f>+D52/P52*(CALC!$A$4)</f>
        <v>1100</v>
      </c>
      <c r="F52" s="545">
        <v>3000</v>
      </c>
      <c r="G52" s="545">
        <f>710*(1+CALC!$A$2)</f>
        <v>550.25</v>
      </c>
      <c r="H52" s="545">
        <f>5000*(1+CALC!$A$2)</f>
        <v>3875</v>
      </c>
      <c r="I52" s="545"/>
      <c r="J52" s="545">
        <v>0</v>
      </c>
      <c r="K52" s="545">
        <v>468</v>
      </c>
      <c r="L52" s="545"/>
      <c r="M52" s="545">
        <f>SUM(E52:K52)</f>
        <v>8993.25</v>
      </c>
      <c r="N52" s="546">
        <f>M52/CALC!$A$8*CALC!$A$6</f>
        <v>292.14937961211825</v>
      </c>
      <c r="O52" s="545">
        <f>SUM(M52:N52)</f>
        <v>9285.3993796121176</v>
      </c>
      <c r="P52" s="547">
        <v>0.2</v>
      </c>
      <c r="Q52" s="551"/>
    </row>
    <row r="53" spans="1:17">
      <c r="A53" s="12"/>
      <c r="B53" s="12"/>
      <c r="C53" s="19"/>
      <c r="D53" s="8"/>
      <c r="E53" s="30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1"/>
      <c r="Q53" s="21"/>
    </row>
    <row r="54" spans="1:17" s="18" customFormat="1">
      <c r="A54" s="4"/>
      <c r="B54" s="4" t="s">
        <v>14</v>
      </c>
      <c r="C54" s="26"/>
      <c r="D54" s="16">
        <f t="shared" ref="D54:M54" si="9">SUM(D52:D53)</f>
        <v>10</v>
      </c>
      <c r="E54" s="14">
        <f t="shared" si="9"/>
        <v>1100</v>
      </c>
      <c r="F54" s="14">
        <f t="shared" si="9"/>
        <v>3000</v>
      </c>
      <c r="G54" s="14">
        <f t="shared" si="9"/>
        <v>550.25</v>
      </c>
      <c r="H54" s="14">
        <f t="shared" si="9"/>
        <v>3875</v>
      </c>
      <c r="I54" s="14">
        <f t="shared" si="9"/>
        <v>0</v>
      </c>
      <c r="J54" s="14">
        <f t="shared" si="9"/>
        <v>0</v>
      </c>
      <c r="K54" s="14">
        <f t="shared" si="9"/>
        <v>468</v>
      </c>
      <c r="L54" s="14">
        <f>SUM(L52:L53)</f>
        <v>0</v>
      </c>
      <c r="M54" s="14">
        <f t="shared" si="9"/>
        <v>8993.25</v>
      </c>
      <c r="N54" s="14">
        <f>M54/CALC!$A$8*CALC!$A$6</f>
        <v>292.14937961211825</v>
      </c>
      <c r="O54" s="14">
        <f>+M54+N54</f>
        <v>9285.3993796121176</v>
      </c>
      <c r="P54" s="33"/>
      <c r="Q54" s="135">
        <f>(+O54/D54)*(1+CALC!$A$3)</f>
        <v>928.53993796121176</v>
      </c>
    </row>
    <row r="55" spans="1:17">
      <c r="Q55" s="21"/>
    </row>
    <row r="56" spans="1:17" ht="10.8" thickBot="1">
      <c r="Q56" s="21"/>
    </row>
    <row r="57" spans="1:17" ht="10.8" thickBot="1">
      <c r="A57" s="330" t="s">
        <v>10</v>
      </c>
      <c r="B57" s="331" t="s">
        <v>148</v>
      </c>
      <c r="D57" s="568" t="s">
        <v>25</v>
      </c>
      <c r="E57" s="569"/>
      <c r="F57" s="570"/>
      <c r="Q57" s="21"/>
    </row>
    <row r="58" spans="1:17">
      <c r="Q58" s="21"/>
    </row>
    <row r="59" spans="1:17" s="549" customFormat="1">
      <c r="A59" s="542" t="s">
        <v>25</v>
      </c>
      <c r="B59" s="542" t="s">
        <v>46</v>
      </c>
      <c r="C59" s="384">
        <v>133</v>
      </c>
      <c r="D59" s="543">
        <v>25</v>
      </c>
      <c r="E59" s="550">
        <f>+D59/P59*(CALC!$A$4)</f>
        <v>2037.0370370370367</v>
      </c>
      <c r="F59" s="545">
        <v>3000</v>
      </c>
      <c r="G59" s="545">
        <f>6200*(1+CALC!$A$2)</f>
        <v>4805</v>
      </c>
      <c r="H59" s="545">
        <f>50000*(1+CALC!$A$2)</f>
        <v>38750</v>
      </c>
      <c r="I59" s="545"/>
      <c r="J59" s="545">
        <v>0</v>
      </c>
      <c r="K59" s="545">
        <v>240</v>
      </c>
      <c r="L59" s="545"/>
      <c r="M59" s="545">
        <f>SUM(E59:L59)</f>
        <v>48832.037037037036</v>
      </c>
      <c r="N59" s="546">
        <f>M59/CALC!$A$8*CALC!$A$6</f>
        <v>1586.3285603720956</v>
      </c>
      <c r="O59" s="545">
        <f>+M59+N59</f>
        <v>50418.365597409131</v>
      </c>
      <c r="P59" s="547">
        <v>0.27</v>
      </c>
      <c r="Q59" s="548"/>
    </row>
    <row r="60" spans="1:17">
      <c r="A60" s="12"/>
      <c r="B60" s="12"/>
      <c r="C60" s="19"/>
      <c r="D60" s="8"/>
      <c r="E60" s="30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31"/>
      <c r="Q60" s="21"/>
    </row>
    <row r="61" spans="1:17" s="18" customFormat="1">
      <c r="A61" s="4"/>
      <c r="B61" s="4" t="s">
        <v>14</v>
      </c>
      <c r="C61" s="26"/>
      <c r="D61" s="16">
        <f t="shared" ref="D61:M61" si="10">SUM(D59:D60)</f>
        <v>25</v>
      </c>
      <c r="E61" s="14">
        <f t="shared" si="10"/>
        <v>2037.0370370370367</v>
      </c>
      <c r="F61" s="14">
        <f t="shared" si="10"/>
        <v>3000</v>
      </c>
      <c r="G61" s="14">
        <f t="shared" si="10"/>
        <v>4805</v>
      </c>
      <c r="H61" s="14">
        <f t="shared" si="10"/>
        <v>38750</v>
      </c>
      <c r="I61" s="14">
        <f t="shared" si="10"/>
        <v>0</v>
      </c>
      <c r="J61" s="14">
        <f t="shared" si="10"/>
        <v>0</v>
      </c>
      <c r="K61" s="14">
        <f t="shared" si="10"/>
        <v>240</v>
      </c>
      <c r="L61" s="14">
        <f>SUM(L59:L60)</f>
        <v>0</v>
      </c>
      <c r="M61" s="14">
        <f t="shared" si="10"/>
        <v>48832.037037037036</v>
      </c>
      <c r="N61" s="14">
        <f>M61/CALC!$A$8*CALC!$A$6</f>
        <v>1586.3285603720956</v>
      </c>
      <c r="O61" s="14">
        <f>+M61+N61</f>
        <v>50418.365597409131</v>
      </c>
      <c r="P61" s="33"/>
      <c r="Q61" s="135">
        <f>(+O61/D61)*(1+CALC!$A$3)</f>
        <v>2016.7346238963653</v>
      </c>
    </row>
    <row r="62" spans="1:17">
      <c r="Q62" s="21"/>
    </row>
    <row r="63" spans="1:17" s="18" customFormat="1" ht="10.8" thickBot="1">
      <c r="A63" s="35"/>
      <c r="B63" s="35"/>
      <c r="C63" s="39"/>
      <c r="D63" s="40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51"/>
    </row>
    <row r="64" spans="1:17" ht="10.8" thickBot="1">
      <c r="A64" s="330" t="s">
        <v>10</v>
      </c>
      <c r="B64" s="331" t="s">
        <v>485</v>
      </c>
      <c r="D64" s="568" t="s">
        <v>273</v>
      </c>
      <c r="E64" s="569"/>
      <c r="F64" s="570"/>
      <c r="Q64" s="21"/>
    </row>
    <row r="65" spans="1:17">
      <c r="Q65" s="21"/>
    </row>
    <row r="66" spans="1:17" s="9" customFormat="1">
      <c r="A66" s="321" t="str">
        <f>+'1-10'!C75</f>
        <v>NISSAN  UD40 - CHERRY PICKER [173]</v>
      </c>
      <c r="B66" s="134" t="str">
        <f>+'1-10'!R75</f>
        <v>CNF 628 L</v>
      </c>
      <c r="C66" s="54">
        <v>674</v>
      </c>
      <c r="D66" s="46">
        <v>8000</v>
      </c>
      <c r="E66" s="62">
        <f>+D66/P66*(CALC!$A$4)</f>
        <v>117333.33333333333</v>
      </c>
      <c r="F66" s="37">
        <v>3000</v>
      </c>
      <c r="G66" s="37">
        <f>5800*(1+CALC!$A$2)</f>
        <v>4495</v>
      </c>
      <c r="H66" s="37">
        <v>50000</v>
      </c>
      <c r="I66" s="37">
        <v>26594.17</v>
      </c>
      <c r="J66" s="37"/>
      <c r="K66" s="37">
        <v>2400</v>
      </c>
      <c r="L66" s="37"/>
      <c r="M66" s="37">
        <f>SUM(E66:L66)</f>
        <v>203822.5033333333</v>
      </c>
      <c r="N66" s="32">
        <f>M66/CALC!$A$8*CALC!$A$6</f>
        <v>6621.2568203733044</v>
      </c>
      <c r="O66" s="37">
        <f>+M66+N66</f>
        <v>210443.76015370659</v>
      </c>
      <c r="P66" s="48">
        <v>1.5</v>
      </c>
      <c r="Q66" s="49"/>
    </row>
    <row r="67" spans="1:17" s="9" customFormat="1">
      <c r="A67" s="321" t="str">
        <f>+'1-10'!C76</f>
        <v>NISSAN  UD40 - CHERRY PICKER [173]</v>
      </c>
      <c r="B67" s="134" t="str">
        <f>+'1-10'!R76</f>
        <v>CNF 616 L</v>
      </c>
      <c r="C67" s="54">
        <v>675</v>
      </c>
      <c r="D67" s="46">
        <v>8000</v>
      </c>
      <c r="E67" s="62">
        <f>+D67/P67*(CALC!$A$4)</f>
        <v>117333.33333333333</v>
      </c>
      <c r="F67" s="37">
        <v>3000</v>
      </c>
      <c r="G67" s="37">
        <f>5800*(1+CALC!$A$2)</f>
        <v>4495</v>
      </c>
      <c r="H67" s="37">
        <v>50000</v>
      </c>
      <c r="I67" s="37">
        <v>26594.17</v>
      </c>
      <c r="J67" s="37"/>
      <c r="K67" s="37">
        <v>2400</v>
      </c>
      <c r="L67" s="37"/>
      <c r="M67" s="37">
        <f>SUM(E67:L67)</f>
        <v>203822.5033333333</v>
      </c>
      <c r="N67" s="32">
        <f>M67/CALC!$A$8*CALC!$A$6</f>
        <v>6621.2568203733044</v>
      </c>
      <c r="O67" s="37">
        <f>+M67+N67</f>
        <v>210443.76015370659</v>
      </c>
      <c r="P67" s="48">
        <v>1.5</v>
      </c>
      <c r="Q67" s="49"/>
    </row>
    <row r="68" spans="1:17">
      <c r="A68" s="53"/>
      <c r="B68" s="12"/>
      <c r="C68" s="19"/>
      <c r="D68" s="8"/>
      <c r="E68" s="30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31"/>
      <c r="Q68" s="21"/>
    </row>
    <row r="69" spans="1:17" s="18" customFormat="1">
      <c r="A69" s="4"/>
      <c r="B69" s="4" t="s">
        <v>14</v>
      </c>
      <c r="C69" s="26"/>
      <c r="D69" s="16">
        <f t="shared" ref="D69:M69" si="11">SUM(D66:D68)</f>
        <v>16000</v>
      </c>
      <c r="E69" s="14">
        <f>SUM(E66:E68)</f>
        <v>234666.66666666666</v>
      </c>
      <c r="F69" s="14">
        <f t="shared" si="11"/>
        <v>6000</v>
      </c>
      <c r="G69" s="14">
        <f t="shared" si="11"/>
        <v>8990</v>
      </c>
      <c r="H69" s="14">
        <f t="shared" si="11"/>
        <v>100000</v>
      </c>
      <c r="I69" s="14">
        <f t="shared" si="11"/>
        <v>53188.34</v>
      </c>
      <c r="J69" s="14">
        <f t="shared" si="11"/>
        <v>0</v>
      </c>
      <c r="K69" s="14">
        <f t="shared" si="11"/>
        <v>4800</v>
      </c>
      <c r="L69" s="14">
        <f t="shared" si="11"/>
        <v>0</v>
      </c>
      <c r="M69" s="14">
        <f t="shared" si="11"/>
        <v>407645.0066666666</v>
      </c>
      <c r="N69" s="14">
        <f>M69/CALC!$A$8*CALC!$A$6</f>
        <v>13242.513640746609</v>
      </c>
      <c r="O69" s="14">
        <f>+M69+N69</f>
        <v>420887.52030741319</v>
      </c>
      <c r="P69" s="33"/>
      <c r="Q69" s="135">
        <f>(+O69/D69)*(1+CALC!$A$3)</f>
        <v>26.305470019213324</v>
      </c>
    </row>
    <row r="70" spans="1:17" ht="10.8" thickBot="1">
      <c r="D70" s="23"/>
      <c r="Q70" s="21"/>
    </row>
    <row r="71" spans="1:17" ht="10.8" thickBot="1">
      <c r="A71" s="330" t="s">
        <v>10</v>
      </c>
      <c r="B71" s="331" t="s">
        <v>486</v>
      </c>
      <c r="D71" s="568" t="s">
        <v>280</v>
      </c>
      <c r="E71" s="569"/>
      <c r="F71" s="570"/>
      <c r="Q71" s="21"/>
    </row>
    <row r="72" spans="1:17">
      <c r="E72" s="9"/>
      <c r="F72" s="9"/>
      <c r="Q72" s="21"/>
    </row>
    <row r="73" spans="1:17" s="9" customFormat="1">
      <c r="A73" s="61" t="str">
        <f>+'1-10'!C83</f>
        <v>NISSAN  UD 80 C H07 [173] CRANE</v>
      </c>
      <c r="B73" s="134" t="str">
        <f>+'1-10'!R83</f>
        <v>CMN 100 L</v>
      </c>
      <c r="C73" s="54">
        <v>682</v>
      </c>
      <c r="D73" s="46">
        <v>8000</v>
      </c>
      <c r="E73" s="62">
        <f>+D73/P73*(CALC!$A$4)</f>
        <v>117333.33333333333</v>
      </c>
      <c r="F73" s="37">
        <v>3000</v>
      </c>
      <c r="G73" s="37">
        <f>1800*(1+CALC!$A$2)</f>
        <v>1395</v>
      </c>
      <c r="H73" s="37">
        <f>95000</f>
        <v>95000</v>
      </c>
      <c r="I73" s="37">
        <v>57196.25</v>
      </c>
      <c r="J73" s="37"/>
      <c r="K73" s="37">
        <v>10200</v>
      </c>
      <c r="L73" s="37"/>
      <c r="M73" s="37">
        <f>SUM(E73:L73)</f>
        <v>284124.58333333331</v>
      </c>
      <c r="N73" s="32">
        <f>M73/CALC!$A$8*CALC!$A$6</f>
        <v>9229.9025105923793</v>
      </c>
      <c r="O73" s="37">
        <f>+M73+N73</f>
        <v>293354.48584392568</v>
      </c>
      <c r="P73" s="48">
        <v>1.5</v>
      </c>
      <c r="Q73" s="49"/>
    </row>
    <row r="74" spans="1:17" s="9" customFormat="1">
      <c r="A74" s="61" t="str">
        <f>+'1-10'!C85</f>
        <v>NISSAN  UD 80 C H07 [173] CRANE</v>
      </c>
      <c r="B74" s="134" t="str">
        <f>+'1-10'!R85</f>
        <v>CNF 598 L</v>
      </c>
      <c r="C74" s="54">
        <v>684</v>
      </c>
      <c r="D74" s="46">
        <v>8000</v>
      </c>
      <c r="E74" s="62">
        <f>+D74/P74*(CALC!$A$4)</f>
        <v>117333.33333333333</v>
      </c>
      <c r="F74" s="37">
        <v>3000</v>
      </c>
      <c r="G74" s="37">
        <f>2500*(1+CALC!$A$2)</f>
        <v>1937.5</v>
      </c>
      <c r="H74" s="37">
        <f>95000</f>
        <v>95000</v>
      </c>
      <c r="I74" s="37">
        <v>61654.92</v>
      </c>
      <c r="J74" s="37"/>
      <c r="K74" s="37">
        <v>10200</v>
      </c>
      <c r="L74" s="37"/>
      <c r="M74" s="37">
        <f>SUM(E74:L74)</f>
        <v>289125.7533333333</v>
      </c>
      <c r="N74" s="32">
        <f>M74/CALC!$A$8*CALC!$A$6</f>
        <v>9392.367549686669</v>
      </c>
      <c r="O74" s="37">
        <f>+M74+N74</f>
        <v>298518.12088301999</v>
      </c>
      <c r="P74" s="48">
        <v>1.5</v>
      </c>
      <c r="Q74" s="49"/>
    </row>
    <row r="75" spans="1:17">
      <c r="A75" s="12"/>
      <c r="B75" s="12"/>
      <c r="C75" s="19"/>
      <c r="D75" s="8"/>
      <c r="E75" s="30"/>
      <c r="F75" s="13"/>
      <c r="G75" s="13"/>
      <c r="H75" s="13"/>
      <c r="I75" s="13"/>
      <c r="J75" s="13"/>
      <c r="K75" s="13"/>
      <c r="L75" s="13"/>
      <c r="M75" s="13"/>
      <c r="N75" s="13"/>
      <c r="O75" s="13">
        <f>+M75+N75</f>
        <v>0</v>
      </c>
      <c r="P75" s="31"/>
      <c r="Q75" s="21"/>
    </row>
    <row r="76" spans="1:17" s="18" customFormat="1">
      <c r="A76" s="4"/>
      <c r="B76" s="4" t="s">
        <v>14</v>
      </c>
      <c r="C76" s="26"/>
      <c r="D76" s="16">
        <f t="shared" ref="D76:M76" si="12">SUM(D73:D75)</f>
        <v>16000</v>
      </c>
      <c r="E76" s="14">
        <f t="shared" si="12"/>
        <v>234666.66666666666</v>
      </c>
      <c r="F76" s="14">
        <f t="shared" si="12"/>
        <v>6000</v>
      </c>
      <c r="G76" s="14">
        <f t="shared" si="12"/>
        <v>3332.5</v>
      </c>
      <c r="H76" s="14">
        <f t="shared" si="12"/>
        <v>190000</v>
      </c>
      <c r="I76" s="14">
        <f t="shared" si="12"/>
        <v>118851.17</v>
      </c>
      <c r="J76" s="14">
        <f t="shared" si="12"/>
        <v>0</v>
      </c>
      <c r="K76" s="14">
        <f t="shared" si="12"/>
        <v>20400</v>
      </c>
      <c r="L76" s="14">
        <f t="shared" si="12"/>
        <v>0</v>
      </c>
      <c r="M76" s="14">
        <f t="shared" si="12"/>
        <v>573250.33666666667</v>
      </c>
      <c r="N76" s="14">
        <f>M76/CALC!$A$8*CALC!$A$6</f>
        <v>18622.27006027905</v>
      </c>
      <c r="O76" s="14">
        <f>+M76+N76</f>
        <v>591872.60672694573</v>
      </c>
      <c r="P76" s="33"/>
      <c r="Q76" s="135">
        <f>(+O76/D76)*(1+CALC!$A$3)</f>
        <v>36.992037920434107</v>
      </c>
    </row>
    <row r="77" spans="1:17" s="18" customFormat="1" ht="10.8" thickBot="1">
      <c r="A77" s="35"/>
      <c r="B77" s="35"/>
      <c r="C77" s="3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51"/>
    </row>
    <row r="78" spans="1:17" ht="10.8" thickBot="1">
      <c r="A78" s="330" t="s">
        <v>10</v>
      </c>
      <c r="B78" s="331" t="s">
        <v>487</v>
      </c>
      <c r="D78" s="568" t="s">
        <v>453</v>
      </c>
      <c r="E78" s="569"/>
      <c r="F78" s="570"/>
      <c r="Q78" s="21"/>
    </row>
    <row r="79" spans="1:17" ht="10.8" thickBot="1">
      <c r="Q79" s="21"/>
    </row>
    <row r="80" spans="1:17" s="9" customFormat="1" ht="10.8" thickBot="1">
      <c r="A80" s="322" t="str">
        <f>+'1-10'!C100</f>
        <v xml:space="preserve">NISSAN  UD 330WF T27 CRANE TRUCK </v>
      </c>
      <c r="B80" s="286" t="str">
        <f>+'1-10'!R100</f>
        <v>CMS 088 L</v>
      </c>
      <c r="C80" s="287" t="s">
        <v>464</v>
      </c>
      <c r="D80" s="46">
        <v>10000</v>
      </c>
      <c r="E80" s="62">
        <f>+D80/P80*(CALC!$A$4)</f>
        <v>169230.76923076922</v>
      </c>
      <c r="F80" s="37">
        <v>3000</v>
      </c>
      <c r="G80" s="37">
        <f>8500*(1+CALC!$A$2)</f>
        <v>6587.5</v>
      </c>
      <c r="H80" s="37">
        <f>140000</f>
        <v>140000</v>
      </c>
      <c r="I80" s="37">
        <v>97340.31</v>
      </c>
      <c r="J80" s="37"/>
      <c r="K80" s="37">
        <v>39000</v>
      </c>
      <c r="L80" s="37"/>
      <c r="M80" s="37">
        <f>SUM(E80:L80)</f>
        <v>455158.57923076925</v>
      </c>
      <c r="N80" s="32">
        <f>M80/CALC!$A$8*CALC!$A$6</f>
        <v>14786.0113471106</v>
      </c>
      <c r="O80" s="37">
        <f>+M80+N80</f>
        <v>469944.59057787986</v>
      </c>
      <c r="P80" s="48">
        <v>1.3</v>
      </c>
      <c r="Q80" s="49"/>
    </row>
    <row r="81" spans="1:17">
      <c r="A81" s="12"/>
      <c r="B81" s="12"/>
      <c r="C81" s="19"/>
      <c r="D81" s="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31"/>
      <c r="Q81" s="21"/>
    </row>
    <row r="82" spans="1:17" s="18" customFormat="1">
      <c r="A82" s="35"/>
      <c r="B82" s="4" t="s">
        <v>14</v>
      </c>
      <c r="C82" s="26"/>
      <c r="D82" s="16">
        <f>SUM(D80:D81)</f>
        <v>10000</v>
      </c>
      <c r="E82" s="14">
        <f>SUM(E80:E81)</f>
        <v>169230.76923076922</v>
      </c>
      <c r="F82" s="14">
        <f t="shared" ref="F82:K82" si="13">SUM(F80:F81)</f>
        <v>3000</v>
      </c>
      <c r="G82" s="14">
        <f t="shared" si="13"/>
        <v>6587.5</v>
      </c>
      <c r="H82" s="14">
        <f t="shared" si="13"/>
        <v>140000</v>
      </c>
      <c r="I82" s="14">
        <f t="shared" si="13"/>
        <v>97340.31</v>
      </c>
      <c r="J82" s="14">
        <f t="shared" si="13"/>
        <v>0</v>
      </c>
      <c r="K82" s="14">
        <f t="shared" si="13"/>
        <v>39000</v>
      </c>
      <c r="L82" s="14">
        <f>+L80</f>
        <v>0</v>
      </c>
      <c r="M82" s="14">
        <f>SUM(M80:M81)</f>
        <v>455158.57923076925</v>
      </c>
      <c r="N82" s="14">
        <f>M82/CALC!$A$8*CALC!$A$6</f>
        <v>14786.0113471106</v>
      </c>
      <c r="O82" s="14">
        <f>+M82+N82</f>
        <v>469944.59057787986</v>
      </c>
      <c r="P82" s="33"/>
      <c r="Q82" s="135">
        <f>(+O82/D82)*(1+CALC!$A$3)</f>
        <v>46.994459057787985</v>
      </c>
    </row>
    <row r="83" spans="1:17" s="18" customFormat="1" ht="10.8" thickBot="1">
      <c r="A83" s="35"/>
      <c r="B83" s="35"/>
      <c r="C83" s="39"/>
      <c r="D83" s="40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51"/>
    </row>
    <row r="84" spans="1:17" ht="10.8" thickBot="1">
      <c r="A84" s="330" t="s">
        <v>10</v>
      </c>
      <c r="B84" s="331" t="s">
        <v>149</v>
      </c>
      <c r="D84" s="568" t="s">
        <v>15</v>
      </c>
      <c r="E84" s="569"/>
      <c r="F84" s="570"/>
      <c r="Q84" s="21"/>
    </row>
    <row r="85" spans="1:17">
      <c r="Q85" s="21"/>
    </row>
    <row r="86" spans="1:17" s="549" customFormat="1">
      <c r="A86" s="542" t="s">
        <v>16</v>
      </c>
      <c r="B86" s="542" t="s">
        <v>49</v>
      </c>
      <c r="C86" s="384">
        <v>56</v>
      </c>
      <c r="D86" s="543"/>
      <c r="E86" s="550"/>
      <c r="F86" s="545"/>
      <c r="G86" s="545">
        <f>710*(1+CALC!$A$2)</f>
        <v>550.25</v>
      </c>
      <c r="H86" s="545">
        <f>5000*(1+CALC!$A$2)</f>
        <v>3875</v>
      </c>
      <c r="I86" s="545"/>
      <c r="J86" s="545"/>
      <c r="K86" s="545">
        <v>468</v>
      </c>
      <c r="L86" s="545"/>
      <c r="M86" s="545">
        <f>SUM(E86:L86)</f>
        <v>4893.25</v>
      </c>
      <c r="N86" s="546">
        <f>M86/CALC!$A$8*CALC!$A$6</f>
        <v>158.95921405353985</v>
      </c>
      <c r="O86" s="545">
        <f>+M86+N86</f>
        <v>5052.2092140535397</v>
      </c>
      <c r="P86" s="551"/>
      <c r="Q86" s="548"/>
    </row>
    <row r="87" spans="1:17" s="549" customFormat="1">
      <c r="A87" s="542" t="s">
        <v>16</v>
      </c>
      <c r="B87" s="542" t="s">
        <v>50</v>
      </c>
      <c r="C87" s="384">
        <v>57</v>
      </c>
      <c r="D87" s="543"/>
      <c r="E87" s="550"/>
      <c r="F87" s="545"/>
      <c r="G87" s="545">
        <f>710*(1+CALC!$A$2)</f>
        <v>550.25</v>
      </c>
      <c r="H87" s="545">
        <f>5000*(1+CALC!$A$2)</f>
        <v>3875</v>
      </c>
      <c r="I87" s="545"/>
      <c r="J87" s="545"/>
      <c r="K87" s="545">
        <v>468</v>
      </c>
      <c r="L87" s="545"/>
      <c r="M87" s="545">
        <f t="shared" ref="M87:M92" si="14">SUM(E87:L87)</f>
        <v>4893.25</v>
      </c>
      <c r="N87" s="546">
        <f>M87/CALC!$A$8*CALC!$A$6</f>
        <v>158.95921405353985</v>
      </c>
      <c r="O87" s="545">
        <f t="shared" ref="O87:O92" si="15">+M87+N87</f>
        <v>5052.2092140535397</v>
      </c>
      <c r="P87" s="551"/>
      <c r="Q87" s="548"/>
    </row>
    <row r="88" spans="1:17" s="549" customFormat="1">
      <c r="A88" s="542" t="s">
        <v>38</v>
      </c>
      <c r="B88" s="542" t="s">
        <v>51</v>
      </c>
      <c r="C88" s="384">
        <v>58</v>
      </c>
      <c r="D88" s="543"/>
      <c r="E88" s="550"/>
      <c r="F88" s="545"/>
      <c r="G88" s="545">
        <f>710*(1+CALC!$A$2)</f>
        <v>550.25</v>
      </c>
      <c r="H88" s="545">
        <f>5000*(1+CALC!$A$2)</f>
        <v>3875</v>
      </c>
      <c r="I88" s="545"/>
      <c r="J88" s="545"/>
      <c r="K88" s="545">
        <v>468</v>
      </c>
      <c r="L88" s="545"/>
      <c r="M88" s="545">
        <f t="shared" si="14"/>
        <v>4893.25</v>
      </c>
      <c r="N88" s="546">
        <f>M88/CALC!$A$8*CALC!$A$6</f>
        <v>158.95921405353985</v>
      </c>
      <c r="O88" s="545">
        <f t="shared" si="15"/>
        <v>5052.2092140535397</v>
      </c>
      <c r="P88" s="551"/>
      <c r="Q88" s="548"/>
    </row>
    <row r="89" spans="1:17" s="549" customFormat="1">
      <c r="A89" s="542" t="s">
        <v>56</v>
      </c>
      <c r="B89" s="542" t="s">
        <v>52</v>
      </c>
      <c r="C89" s="384">
        <v>59</v>
      </c>
      <c r="D89" s="543"/>
      <c r="E89" s="550"/>
      <c r="F89" s="545"/>
      <c r="G89" s="545">
        <f>710*(1+CALC!$A$2)</f>
        <v>550.25</v>
      </c>
      <c r="H89" s="545">
        <f>5000*(1+CALC!$A$2)</f>
        <v>3875</v>
      </c>
      <c r="I89" s="545"/>
      <c r="J89" s="545"/>
      <c r="K89" s="545">
        <v>468</v>
      </c>
      <c r="L89" s="545"/>
      <c r="M89" s="545">
        <f t="shared" si="14"/>
        <v>4893.25</v>
      </c>
      <c r="N89" s="546">
        <f>M89/CALC!$A$8*CALC!$A$6</f>
        <v>158.95921405353985</v>
      </c>
      <c r="O89" s="545">
        <f t="shared" si="15"/>
        <v>5052.2092140535397</v>
      </c>
      <c r="P89" s="551"/>
      <c r="Q89" s="548"/>
    </row>
    <row r="90" spans="1:17" s="549" customFormat="1">
      <c r="A90" s="542" t="s">
        <v>57</v>
      </c>
      <c r="B90" s="542" t="s">
        <v>53</v>
      </c>
      <c r="C90" s="384">
        <v>60</v>
      </c>
      <c r="D90" s="543"/>
      <c r="E90" s="550"/>
      <c r="F90" s="545"/>
      <c r="G90" s="545">
        <f>710*(1+CALC!$A$2)</f>
        <v>550.25</v>
      </c>
      <c r="H90" s="545">
        <f>5000*(1+CALC!$A$2)</f>
        <v>3875</v>
      </c>
      <c r="I90" s="545"/>
      <c r="J90" s="545"/>
      <c r="K90" s="545">
        <v>468</v>
      </c>
      <c r="L90" s="545"/>
      <c r="M90" s="545">
        <f t="shared" si="14"/>
        <v>4893.25</v>
      </c>
      <c r="N90" s="546">
        <f>M90/CALC!$A$8*CALC!$A$6</f>
        <v>158.95921405353985</v>
      </c>
      <c r="O90" s="545">
        <f t="shared" si="15"/>
        <v>5052.2092140535397</v>
      </c>
      <c r="P90" s="551"/>
      <c r="Q90" s="548"/>
    </row>
    <row r="91" spans="1:17" s="549" customFormat="1">
      <c r="A91" s="542" t="s">
        <v>58</v>
      </c>
      <c r="B91" s="542" t="s">
        <v>54</v>
      </c>
      <c r="C91" s="384">
        <v>171</v>
      </c>
      <c r="D91" s="543"/>
      <c r="E91" s="550"/>
      <c r="F91" s="545"/>
      <c r="G91" s="545"/>
      <c r="H91" s="545"/>
      <c r="I91" s="545"/>
      <c r="J91" s="545"/>
      <c r="K91" s="545"/>
      <c r="L91" s="545"/>
      <c r="M91" s="545">
        <f t="shared" si="14"/>
        <v>0</v>
      </c>
      <c r="N91" s="546">
        <f>M91/CALC!$A$8*CALC!$A$6</f>
        <v>0</v>
      </c>
      <c r="O91" s="545">
        <f t="shared" si="15"/>
        <v>0</v>
      </c>
      <c r="P91" s="551"/>
      <c r="Q91" s="548"/>
    </row>
    <row r="92" spans="1:17" s="549" customFormat="1">
      <c r="A92" s="542" t="s">
        <v>59</v>
      </c>
      <c r="B92" s="542" t="s">
        <v>55</v>
      </c>
      <c r="C92" s="384">
        <v>172</v>
      </c>
      <c r="D92" s="543"/>
      <c r="E92" s="550"/>
      <c r="F92" s="545"/>
      <c r="G92" s="545">
        <f>710*(1+CALC!$A$2)</f>
        <v>550.25</v>
      </c>
      <c r="H92" s="545">
        <f>5000*(1+CALC!$A$2)</f>
        <v>3875</v>
      </c>
      <c r="I92" s="545">
        <v>0</v>
      </c>
      <c r="J92" s="545"/>
      <c r="K92" s="545">
        <v>468</v>
      </c>
      <c r="L92" s="545"/>
      <c r="M92" s="545">
        <f t="shared" si="14"/>
        <v>4893.25</v>
      </c>
      <c r="N92" s="546">
        <f>M92/CALC!$A$8*CALC!$A$6</f>
        <v>158.95921405353985</v>
      </c>
      <c r="O92" s="545">
        <f t="shared" si="15"/>
        <v>5052.2092140535397</v>
      </c>
      <c r="P92" s="551"/>
      <c r="Q92" s="548"/>
    </row>
    <row r="93" spans="1:17">
      <c r="A93" s="12"/>
      <c r="B93" s="12"/>
      <c r="C93" s="19"/>
      <c r="D93" s="8"/>
      <c r="E93" s="30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20"/>
      <c r="Q93" s="21"/>
    </row>
    <row r="94" spans="1:17" s="18" customFormat="1">
      <c r="A94" s="4"/>
      <c r="B94" s="4" t="s">
        <v>14</v>
      </c>
      <c r="C94" s="26"/>
      <c r="D94" s="16"/>
      <c r="E94" s="14"/>
      <c r="F94" s="14">
        <f t="shared" ref="F94:M94" si="16">SUM(F86:F93)</f>
        <v>0</v>
      </c>
      <c r="G94" s="14">
        <f t="shared" si="16"/>
        <v>3301.5</v>
      </c>
      <c r="H94" s="14">
        <f t="shared" si="16"/>
        <v>23250</v>
      </c>
      <c r="I94" s="14">
        <f t="shared" si="16"/>
        <v>0</v>
      </c>
      <c r="J94" s="14">
        <f t="shared" si="16"/>
        <v>0</v>
      </c>
      <c r="K94" s="14">
        <f t="shared" si="16"/>
        <v>2808</v>
      </c>
      <c r="L94" s="14"/>
      <c r="M94" s="14">
        <f t="shared" si="16"/>
        <v>29359.5</v>
      </c>
      <c r="N94" s="14">
        <f>M94/CALC!$A$8*CALC!$A$6</f>
        <v>953.75528432123917</v>
      </c>
      <c r="O94" s="14">
        <f>+M94+N94</f>
        <v>30313.25528432124</v>
      </c>
      <c r="P94" s="41"/>
      <c r="Q94" s="36"/>
    </row>
    <row r="95" spans="1:17">
      <c r="Q95" s="21"/>
    </row>
    <row r="96" spans="1:17" ht="10.8" thickBot="1">
      <c r="Q96" s="21"/>
    </row>
    <row r="97" spans="1:18" s="18" customFormat="1" ht="10.8" thickBot="1">
      <c r="A97" s="18" t="s">
        <v>104</v>
      </c>
      <c r="B97" s="73" t="s">
        <v>14</v>
      </c>
      <c r="C97" s="74"/>
      <c r="D97" s="75">
        <f t="shared" ref="D97:P97" si="17">+D9+D24+D48+D54+D61+D69+D76+D94+D82</f>
        <v>703035</v>
      </c>
      <c r="E97" s="76">
        <f t="shared" si="17"/>
        <v>3438659.3502647835</v>
      </c>
      <c r="F97" s="76">
        <f t="shared" si="17"/>
        <v>111000</v>
      </c>
      <c r="G97" s="76">
        <f t="shared" si="17"/>
        <v>159760.6545</v>
      </c>
      <c r="H97" s="76">
        <f t="shared" si="17"/>
        <v>1555075</v>
      </c>
      <c r="I97" s="76">
        <f t="shared" si="17"/>
        <v>1392746.53</v>
      </c>
      <c r="J97" s="76">
        <f t="shared" si="17"/>
        <v>0</v>
      </c>
      <c r="K97" s="76">
        <f t="shared" si="17"/>
        <v>115476</v>
      </c>
      <c r="L97" s="76">
        <f t="shared" si="17"/>
        <v>0</v>
      </c>
      <c r="M97" s="76">
        <f t="shared" si="17"/>
        <v>6772717.5347647863</v>
      </c>
      <c r="N97" s="76">
        <f t="shared" si="17"/>
        <v>220014.48042361176</v>
      </c>
      <c r="O97" s="76">
        <f t="shared" si="17"/>
        <v>6992732.0151883969</v>
      </c>
      <c r="P97" s="76">
        <f t="shared" si="17"/>
        <v>0</v>
      </c>
      <c r="Q97" s="34"/>
      <c r="R97" s="45"/>
    </row>
    <row r="98" spans="1:18">
      <c r="Q98" s="21"/>
    </row>
    <row r="99" spans="1:18">
      <c r="Q99" s="21"/>
    </row>
    <row r="100" spans="1:18">
      <c r="D100" s="17">
        <f>+D9+D24+D48+D54+D61+D69+D76+D82</f>
        <v>703035</v>
      </c>
      <c r="E100" s="17">
        <f>+E9+E24+E48+E54+E61+E69+E76+E82</f>
        <v>3438659.3502647835</v>
      </c>
      <c r="F100" s="17">
        <f>+F54+F61+F94</f>
        <v>6000</v>
      </c>
      <c r="G100" s="17">
        <f t="shared" ref="G100:O100" si="18">+G9+G24+G48+G54+G61+G69+G76+G82+G94</f>
        <v>159760.6545</v>
      </c>
      <c r="H100" s="17">
        <f t="shared" si="18"/>
        <v>1555075</v>
      </c>
      <c r="I100" s="17">
        <f t="shared" si="18"/>
        <v>1392746.53</v>
      </c>
      <c r="J100" s="17">
        <f t="shared" si="18"/>
        <v>0</v>
      </c>
      <c r="K100" s="17">
        <f t="shared" si="18"/>
        <v>115476</v>
      </c>
      <c r="L100" s="17">
        <f t="shared" si="18"/>
        <v>0</v>
      </c>
      <c r="M100" s="17">
        <f t="shared" si="18"/>
        <v>6772717.5347647863</v>
      </c>
      <c r="N100" s="17">
        <f t="shared" si="18"/>
        <v>220014.48042361176</v>
      </c>
      <c r="O100" s="17">
        <f t="shared" si="18"/>
        <v>6992732.0151883969</v>
      </c>
      <c r="Q100" s="21"/>
    </row>
    <row r="101" spans="1:18">
      <c r="Q101" s="21"/>
    </row>
    <row r="102" spans="1:18">
      <c r="Q102" s="21"/>
    </row>
    <row r="103" spans="1:18">
      <c r="Q103" s="21"/>
    </row>
    <row r="104" spans="1:18">
      <c r="Q104" s="21"/>
    </row>
    <row r="105" spans="1:18">
      <c r="Q105" s="21"/>
    </row>
    <row r="106" spans="1:18">
      <c r="Q106" s="21"/>
    </row>
    <row r="107" spans="1:18">
      <c r="Q107" s="21"/>
    </row>
    <row r="108" spans="1:18">
      <c r="Q108" s="21"/>
    </row>
    <row r="109" spans="1:18">
      <c r="Q109" s="21"/>
    </row>
    <row r="110" spans="1:18">
      <c r="Q110" s="21"/>
    </row>
    <row r="111" spans="1:18">
      <c r="Q111" s="21"/>
    </row>
    <row r="112" spans="1:18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6:17">
      <c r="Q129" s="21"/>
    </row>
    <row r="130" spans="6:17">
      <c r="Q130" s="21"/>
    </row>
    <row r="131" spans="6:17">
      <c r="Q131" s="21"/>
    </row>
    <row r="132" spans="6:17">
      <c r="Q132" s="21"/>
    </row>
    <row r="133" spans="6:17">
      <c r="Q133" s="21"/>
    </row>
    <row r="134" spans="6:17">
      <c r="Q134" s="21"/>
    </row>
    <row r="135" spans="6:17">
      <c r="Q135" s="21"/>
    </row>
    <row r="136" spans="6:17">
      <c r="Q136" s="21"/>
    </row>
    <row r="137" spans="6:17">
      <c r="Q137" s="21"/>
    </row>
    <row r="138" spans="6:17">
      <c r="Q138" s="21"/>
    </row>
    <row r="139" spans="6:17">
      <c r="Q139" s="21"/>
    </row>
    <row r="140" spans="6:17">
      <c r="Q140" s="21"/>
    </row>
    <row r="141" spans="6:17">
      <c r="Q141" s="21"/>
    </row>
    <row r="142" spans="6:17">
      <c r="Q142" s="21"/>
    </row>
    <row r="143" spans="6:17">
      <c r="F143" s="2">
        <f>SUM(F134:F142)</f>
        <v>0</v>
      </c>
      <c r="Q143" s="21"/>
    </row>
    <row r="144" spans="6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</sheetData>
  <customSheetViews>
    <customSheetView guid="{08F29437-BBE1-46C0-B84C-12B7ABEF1718}" showPageBreaks="1" printArea="1" view="pageBreakPreview">
      <pane xSplit="3" ySplit="3" topLeftCell="D19" activePane="bottomRight" state="frozen"/>
      <selection pane="bottomRight" activeCell="H36" sqref="H36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73" activePane="bottomRight" state="frozen"/>
      <selection pane="bottomRight" activeCell="H75" sqref="H75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view="pageBreakPreview">
      <pane xSplit="3" ySplit="3" topLeftCell="D19" activePane="bottomRight" state="frozen"/>
      <selection pane="bottomRight" activeCell="H36" sqref="H36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9">
    <mergeCell ref="D5:F5"/>
    <mergeCell ref="D71:F71"/>
    <mergeCell ref="D11:F11"/>
    <mergeCell ref="D84:F84"/>
    <mergeCell ref="D27:F27"/>
    <mergeCell ref="D50:F50"/>
    <mergeCell ref="D57:F57"/>
    <mergeCell ref="D64:F64"/>
    <mergeCell ref="D78:F7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9.21875" defaultRowHeight="10.199999999999999"/>
  <cols>
    <col min="1" max="1" width="28.21875" style="2" bestFit="1" customWidth="1"/>
    <col min="2" max="2" width="14" style="2" bestFit="1" customWidth="1"/>
    <col min="3" max="3" width="4.44140625" style="6" bestFit="1" customWidth="1"/>
    <col min="4" max="4" width="8.77734375" style="17" bestFit="1" customWidth="1"/>
    <col min="5" max="5" width="14" style="2" bestFit="1" customWidth="1"/>
    <col min="6" max="6" width="11.21875" style="2" bestFit="1" customWidth="1"/>
    <col min="7" max="10" width="13.21875" style="2" bestFit="1" customWidth="1"/>
    <col min="11" max="11" width="11.21875" style="2" bestFit="1" customWidth="1"/>
    <col min="12" max="12" width="13.21875" style="2" bestFit="1" customWidth="1"/>
    <col min="13" max="13" width="14.77734375" style="2" bestFit="1" customWidth="1"/>
    <col min="14" max="14" width="13.21875" style="2" bestFit="1" customWidth="1"/>
    <col min="15" max="15" width="14" style="2" bestFit="1" customWidth="1"/>
    <col min="16" max="16" width="11.21875" style="15" hidden="1" customWidth="1"/>
    <col min="17" max="17" width="7.77734375" style="29" bestFit="1" customWidth="1"/>
    <col min="18" max="18" width="9.21875" style="2"/>
    <col min="19" max="21" width="14" style="2" bestFit="1" customWidth="1"/>
    <col min="22" max="22" width="13.21875" style="2" bestFit="1" customWidth="1"/>
    <col min="23" max="16384" width="9.21875" style="2"/>
  </cols>
  <sheetData>
    <row r="1" spans="1:17">
      <c r="A1" s="18" t="s">
        <v>1510</v>
      </c>
      <c r="D1" s="17" t="s">
        <v>21</v>
      </c>
    </row>
    <row r="3" spans="1:17" ht="25.5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192</v>
      </c>
      <c r="F3" s="343" t="s">
        <v>1501</v>
      </c>
      <c r="G3" s="343" t="s">
        <v>178</v>
      </c>
      <c r="H3" s="343" t="s">
        <v>194</v>
      </c>
      <c r="I3" s="343" t="s">
        <v>184</v>
      </c>
      <c r="J3" s="343" t="s">
        <v>185</v>
      </c>
      <c r="K3" s="343" t="s">
        <v>181</v>
      </c>
      <c r="L3" s="340" t="str">
        <f>+mayor!L3</f>
        <v>INTEREST</v>
      </c>
      <c r="M3" s="340" t="s">
        <v>12</v>
      </c>
      <c r="N3" s="343" t="s">
        <v>193</v>
      </c>
      <c r="O3" s="343" t="s">
        <v>182</v>
      </c>
      <c r="P3" s="346" t="s">
        <v>85</v>
      </c>
      <c r="Q3" s="347" t="s">
        <v>11</v>
      </c>
    </row>
    <row r="4" spans="1:17" ht="10.8" thickBot="1"/>
    <row r="5" spans="1:17" ht="10.8" thickBot="1">
      <c r="A5" s="330" t="s">
        <v>10</v>
      </c>
      <c r="B5" s="331" t="s">
        <v>488</v>
      </c>
      <c r="D5" s="568" t="s">
        <v>257</v>
      </c>
      <c r="E5" s="569"/>
      <c r="F5" s="570"/>
    </row>
    <row r="6" spans="1:17">
      <c r="Q6" s="21"/>
    </row>
    <row r="7" spans="1:17" s="9" customFormat="1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133253.37331334333</v>
      </c>
      <c r="F7" s="37">
        <v>3000</v>
      </c>
      <c r="G7" s="37">
        <f>5481.62*(1+CALC!$A$2)</f>
        <v>4248.2555000000002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191855.46881334332</v>
      </c>
      <c r="N7" s="32">
        <f>M7/CALC!$A$8*CALC!$A$6</f>
        <v>6232.5028425775272</v>
      </c>
      <c r="O7" s="37">
        <f>+M7+N7</f>
        <v>198087.97165592085</v>
      </c>
      <c r="P7" s="48">
        <v>6.67</v>
      </c>
      <c r="Q7" s="49"/>
    </row>
    <row r="8" spans="1:17" s="9" customFormat="1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33313.343328335832</v>
      </c>
      <c r="F8" s="37">
        <v>3000</v>
      </c>
      <c r="G8" s="37">
        <f>5481.62*(1+CALC!$A$2)</f>
        <v>4248.2555000000002</v>
      </c>
      <c r="H8" s="37">
        <v>35000</v>
      </c>
      <c r="I8" s="37">
        <v>15393.84</v>
      </c>
      <c r="J8" s="37"/>
      <c r="K8" s="37">
        <v>960</v>
      </c>
      <c r="L8" s="37"/>
      <c r="M8" s="37">
        <f>SUM(E8:L8)</f>
        <v>91915.438828335828</v>
      </c>
      <c r="N8" s="32">
        <f>M8/CALC!$A$8*CALC!$A$6</f>
        <v>2985.910369496446</v>
      </c>
      <c r="O8" s="37">
        <f>+M8+N8</f>
        <v>94901.349197832271</v>
      </c>
      <c r="P8" s="48">
        <v>6.67</v>
      </c>
      <c r="Q8" s="49"/>
    </row>
    <row r="9" spans="1:17" s="10" customFormat="1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166566.71664167917</v>
      </c>
      <c r="F9" s="32">
        <f t="shared" si="0"/>
        <v>6000</v>
      </c>
      <c r="G9" s="32">
        <f t="shared" si="0"/>
        <v>8496.5110000000004</v>
      </c>
      <c r="H9" s="32">
        <f t="shared" si="0"/>
        <v>70000</v>
      </c>
      <c r="I9" s="32">
        <f t="shared" si="0"/>
        <v>30787.68</v>
      </c>
      <c r="J9" s="32">
        <f t="shared" si="0"/>
        <v>0</v>
      </c>
      <c r="K9" s="32">
        <f t="shared" si="0"/>
        <v>1920</v>
      </c>
      <c r="L9" s="32">
        <f>+L7+L8</f>
        <v>0</v>
      </c>
      <c r="M9" s="32">
        <f>SUM(M7:M8)</f>
        <v>283770.90764167916</v>
      </c>
      <c r="N9" s="32">
        <f>SUM(N7:N8)</f>
        <v>9218.4132120739741</v>
      </c>
      <c r="O9" s="32">
        <f>SUM(O7:O8)</f>
        <v>292989.32085375313</v>
      </c>
      <c r="P9" s="50"/>
      <c r="Q9" s="362">
        <f>(+O9/D9)*(1+CALC!$A$3)</f>
        <v>5.8597864170750622</v>
      </c>
    </row>
    <row r="10" spans="1:17" ht="10.8" thickBot="1">
      <c r="Q10" s="21"/>
    </row>
    <row r="11" spans="1:17" ht="10.8" thickBot="1">
      <c r="A11" s="330" t="s">
        <v>10</v>
      </c>
      <c r="B11" s="331" t="s">
        <v>489</v>
      </c>
      <c r="D11" s="568" t="s">
        <v>284</v>
      </c>
      <c r="E11" s="569"/>
      <c r="F11" s="570"/>
      <c r="Q11" s="21"/>
    </row>
    <row r="12" spans="1:17">
      <c r="Q12" s="21"/>
    </row>
    <row r="13" spans="1:17" s="9" customFormat="1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116171.61716171616</v>
      </c>
      <c r="F13" s="37">
        <v>3000</v>
      </c>
      <c r="G13" s="37">
        <f>5481.62*(1+CALC!$A$2)</f>
        <v>4248.2555000000002</v>
      </c>
      <c r="H13" s="37">
        <v>35000</v>
      </c>
      <c r="I13" s="37">
        <v>21598.39</v>
      </c>
      <c r="J13" s="37"/>
      <c r="K13" s="37">
        <v>1200</v>
      </c>
      <c r="L13" s="37"/>
      <c r="M13" s="37">
        <f>SUM(E13:L13)</f>
        <v>181218.26266171614</v>
      </c>
      <c r="N13" s="37">
        <f>M13/CALC!$A$8*CALC!$A$6</f>
        <v>5886.9488795492462</v>
      </c>
      <c r="O13" s="37">
        <f>+M13+N13</f>
        <v>187105.21154126539</v>
      </c>
      <c r="P13" s="48">
        <v>9.09</v>
      </c>
      <c r="Q13" s="49"/>
    </row>
    <row r="14" spans="1:17" s="9" customFormat="1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155711.11111111112</v>
      </c>
      <c r="F14" s="37">
        <v>3000</v>
      </c>
      <c r="G14" s="37">
        <f>5481.62*(1+CALC!$A$2)</f>
        <v>4248.2555000000002</v>
      </c>
      <c r="H14" s="37">
        <v>35000</v>
      </c>
      <c r="I14" s="37">
        <v>29598.39</v>
      </c>
      <c r="J14" s="37"/>
      <c r="K14" s="37">
        <v>1200</v>
      </c>
      <c r="L14" s="37"/>
      <c r="M14" s="37">
        <f>SUM(E14:L14)</f>
        <v>228757.75661111111</v>
      </c>
      <c r="N14" s="37">
        <f>M14/CALC!$A$8*CALC!$A$6</f>
        <v>7431.2886526445991</v>
      </c>
      <c r="O14" s="37">
        <f>+M14+N14</f>
        <v>236189.04526375572</v>
      </c>
      <c r="P14" s="48">
        <v>9.09</v>
      </c>
      <c r="Q14" s="49"/>
    </row>
    <row r="15" spans="1:17" s="9" customFormat="1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24444.444444444442</v>
      </c>
      <c r="F15" s="37">
        <v>3000</v>
      </c>
      <c r="G15" s="37">
        <f>5481.62*(1+CALC!$A$2)</f>
        <v>4248.2555000000002</v>
      </c>
      <c r="H15" s="37">
        <v>35000</v>
      </c>
      <c r="I15" s="37">
        <v>21606</v>
      </c>
      <c r="J15" s="37"/>
      <c r="K15" s="37">
        <v>1200</v>
      </c>
      <c r="L15" s="37"/>
      <c r="M15" s="37">
        <f>SUM(E15:L15)</f>
        <v>89498.699944444437</v>
      </c>
      <c r="N15" s="37">
        <f>M15/CALC!$A$8*CALC!$A$6</f>
        <v>2907.401625092215</v>
      </c>
      <c r="O15" s="37">
        <f>+M15+N15</f>
        <v>92406.101569536651</v>
      </c>
      <c r="P15" s="48">
        <v>9.09</v>
      </c>
      <c r="Q15" s="49"/>
    </row>
    <row r="16" spans="1:17" s="10" customFormat="1">
      <c r="A16" s="63"/>
      <c r="B16" s="3" t="s">
        <v>14</v>
      </c>
      <c r="C16" s="136"/>
      <c r="D16" s="137">
        <f>+D13+D14+D15</f>
        <v>113700</v>
      </c>
      <c r="E16" s="32">
        <f>+E13+E14+E15</f>
        <v>296327.17271727172</v>
      </c>
      <c r="F16" s="32">
        <f t="shared" ref="F16:O16" si="1">+F13+F14+F15</f>
        <v>9000</v>
      </c>
      <c r="G16" s="32">
        <f t="shared" si="1"/>
        <v>12744.766500000002</v>
      </c>
      <c r="H16" s="32">
        <f t="shared" si="1"/>
        <v>105000</v>
      </c>
      <c r="I16" s="32">
        <f t="shared" si="1"/>
        <v>72802.78</v>
      </c>
      <c r="J16" s="32">
        <f t="shared" si="1"/>
        <v>0</v>
      </c>
      <c r="K16" s="32">
        <f t="shared" si="1"/>
        <v>3600</v>
      </c>
      <c r="L16" s="32">
        <f t="shared" si="1"/>
        <v>0</v>
      </c>
      <c r="M16" s="32">
        <f t="shared" si="1"/>
        <v>499474.71921727166</v>
      </c>
      <c r="N16" s="32">
        <f t="shared" si="1"/>
        <v>16225.639157286059</v>
      </c>
      <c r="O16" s="32">
        <f t="shared" si="1"/>
        <v>515700.35837455775</v>
      </c>
      <c r="P16" s="50"/>
      <c r="Q16" s="362">
        <f>(+O16/D16)*(1+CALC!$A$3)</f>
        <v>4.5356232047014755</v>
      </c>
    </row>
    <row r="17" spans="1:17" ht="10.8" thickBot="1">
      <c r="Q17" s="21"/>
    </row>
    <row r="18" spans="1:17" ht="10.8" thickBot="1">
      <c r="A18" s="330" t="s">
        <v>10</v>
      </c>
      <c r="B18" s="331" t="s">
        <v>490</v>
      </c>
      <c r="D18" s="568" t="s">
        <v>684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94285.714285714275</v>
      </c>
      <c r="F20" s="37">
        <v>3000</v>
      </c>
      <c r="G20" s="37">
        <f>9000*(1+CALC!$A$2)</f>
        <v>6975</v>
      </c>
      <c r="H20" s="37">
        <v>40000</v>
      </c>
      <c r="I20" s="37">
        <v>14067.31</v>
      </c>
      <c r="J20" s="37"/>
      <c r="K20" s="37">
        <v>10500</v>
      </c>
      <c r="L20" s="37"/>
      <c r="M20" s="37">
        <f>SUM(E20:L20)</f>
        <v>168828.02428571426</v>
      </c>
      <c r="N20" s="37">
        <f>M20/CALC!$A$8*CALC!$A$6</f>
        <v>5484.446952571212</v>
      </c>
      <c r="O20" s="37">
        <f>+M20+N20</f>
        <v>174312.47123828548</v>
      </c>
      <c r="P20" s="48">
        <v>7</v>
      </c>
      <c r="Q20" s="49"/>
    </row>
    <row r="21" spans="1:17" s="9" customFormat="1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31428.571428571431</v>
      </c>
      <c r="F21" s="37">
        <v>3000</v>
      </c>
      <c r="G21" s="37">
        <f>9000*(1+CALC!$A$2)</f>
        <v>6975</v>
      </c>
      <c r="H21" s="37">
        <v>40000</v>
      </c>
      <c r="I21" s="37">
        <v>14067.31</v>
      </c>
      <c r="J21" s="37"/>
      <c r="K21" s="37">
        <v>10500</v>
      </c>
      <c r="L21" s="37"/>
      <c r="M21" s="37">
        <f>SUM(E21:L21)</f>
        <v>105970.88142857143</v>
      </c>
      <c r="N21" s="37">
        <f>M21/CALC!$A$8*CALC!$A$6</f>
        <v>3442.5071321609526</v>
      </c>
      <c r="O21" s="37">
        <f>+M21+N21</f>
        <v>109413.38856073239</v>
      </c>
      <c r="P21" s="48">
        <v>7</v>
      </c>
      <c r="Q21" s="49"/>
    </row>
    <row r="22" spans="1:17" s="9" customFormat="1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31428.571428571431</v>
      </c>
      <c r="F22" s="37">
        <v>3000</v>
      </c>
      <c r="G22" s="37">
        <f>9000*(1+CALC!$A$2)</f>
        <v>6975</v>
      </c>
      <c r="H22" s="37">
        <v>40000</v>
      </c>
      <c r="I22" s="37">
        <v>21980.73</v>
      </c>
      <c r="J22" s="37"/>
      <c r="K22" s="37">
        <v>10500</v>
      </c>
      <c r="L22" s="37"/>
      <c r="M22" s="37">
        <f>SUM(E22:L22)</f>
        <v>113884.30142857143</v>
      </c>
      <c r="N22" s="37">
        <f>M22/CALC!$A$8*CALC!$A$6</f>
        <v>3699.5777955596268</v>
      </c>
      <c r="O22" s="37">
        <f>+M22+N22</f>
        <v>117583.87922413106</v>
      </c>
      <c r="P22" s="48">
        <v>7</v>
      </c>
      <c r="Q22" s="49"/>
    </row>
    <row r="23" spans="1:17" s="18" customFormat="1">
      <c r="A23" s="35"/>
      <c r="B23" s="4" t="s">
        <v>14</v>
      </c>
      <c r="C23" s="26"/>
      <c r="D23" s="16">
        <f>+D20+D21+D22</f>
        <v>50000</v>
      </c>
      <c r="E23" s="14">
        <f>+E20+E21+E22</f>
        <v>157142.85714285713</v>
      </c>
      <c r="F23" s="14">
        <f t="shared" ref="F23:O23" si="2">+F20+F21+F22</f>
        <v>9000</v>
      </c>
      <c r="G23" s="14">
        <f t="shared" si="2"/>
        <v>20925</v>
      </c>
      <c r="H23" s="14">
        <f t="shared" si="2"/>
        <v>120000</v>
      </c>
      <c r="I23" s="14">
        <f t="shared" si="2"/>
        <v>50115.35</v>
      </c>
      <c r="J23" s="14">
        <f t="shared" si="2"/>
        <v>0</v>
      </c>
      <c r="K23" s="14">
        <f t="shared" si="2"/>
        <v>31500</v>
      </c>
      <c r="L23" s="32">
        <f t="shared" si="2"/>
        <v>0</v>
      </c>
      <c r="M23" s="14">
        <f t="shared" si="2"/>
        <v>388683.20714285714</v>
      </c>
      <c r="N23" s="14">
        <f t="shared" si="2"/>
        <v>12626.53188029179</v>
      </c>
      <c r="O23" s="14">
        <f t="shared" si="2"/>
        <v>401309.73902314896</v>
      </c>
      <c r="P23" s="33"/>
      <c r="Q23" s="135">
        <f>(+O23/D23)*(1+CALC!$A$3)</f>
        <v>8.0261947804629798</v>
      </c>
    </row>
    <row r="24" spans="1:17" ht="10.8" thickBot="1">
      <c r="Q24" s="21"/>
    </row>
    <row r="25" spans="1:17" ht="10.8" thickBot="1">
      <c r="A25" s="330" t="s">
        <v>10</v>
      </c>
      <c r="B25" s="331" t="s">
        <v>491</v>
      </c>
      <c r="D25" s="568" t="s">
        <v>685</v>
      </c>
      <c r="E25" s="569"/>
      <c r="F25" s="570"/>
      <c r="Q25" s="21"/>
    </row>
    <row r="26" spans="1:17">
      <c r="Q26" s="21"/>
    </row>
    <row r="27" spans="1:17" s="9" customFormat="1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143000</v>
      </c>
      <c r="F27" s="37">
        <v>3000</v>
      </c>
      <c r="G27" s="37">
        <f>6057.27*(1+CALC!$A$2)</f>
        <v>4694.3842500000001</v>
      </c>
      <c r="H27" s="37">
        <v>40000</v>
      </c>
      <c r="I27" s="37">
        <v>29322.53</v>
      </c>
      <c r="J27" s="37"/>
      <c r="K27" s="37">
        <v>2400</v>
      </c>
      <c r="L27" s="37"/>
      <c r="M27" s="37">
        <f>SUM(E27:L27)</f>
        <v>222416.91425</v>
      </c>
      <c r="N27" s="37">
        <f>M27/CALC!$A$8*CALC!$A$6</f>
        <v>7225.3038126794199</v>
      </c>
      <c r="O27" s="37">
        <f>+M27+N27</f>
        <v>229642.21806267943</v>
      </c>
      <c r="P27" s="48">
        <v>2</v>
      </c>
      <c r="Q27" s="49"/>
    </row>
    <row r="28" spans="1:17" s="9" customFormat="1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88000</v>
      </c>
      <c r="F28" s="37">
        <v>3000</v>
      </c>
      <c r="G28" s="37">
        <f>6057.27*(1+CALC!$A$2)</f>
        <v>4694.3842500000001</v>
      </c>
      <c r="H28" s="37">
        <v>40000</v>
      </c>
      <c r="I28" s="37">
        <v>22476.75</v>
      </c>
      <c r="J28" s="37"/>
      <c r="K28" s="37">
        <v>2400</v>
      </c>
      <c r="L28" s="37"/>
      <c r="M28" s="37">
        <f>SUM(E28:L28)</f>
        <v>160571.13425</v>
      </c>
      <c r="N28" s="37">
        <f>M28/CALC!$A$8*CALC!$A$6</f>
        <v>5216.2185255332215</v>
      </c>
      <c r="O28" s="37">
        <f>+M28+N28</f>
        <v>165787.35277553322</v>
      </c>
      <c r="P28" s="48">
        <v>2</v>
      </c>
      <c r="Q28" s="49"/>
    </row>
    <row r="29" spans="1:17" s="9" customFormat="1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88000</v>
      </c>
      <c r="F29" s="37">
        <v>3000</v>
      </c>
      <c r="G29" s="37">
        <f>6057.27*(1+CALC!$A$2)</f>
        <v>4694.3842500000001</v>
      </c>
      <c r="H29" s="37">
        <v>40000</v>
      </c>
      <c r="I29" s="37">
        <v>29322.53</v>
      </c>
      <c r="J29" s="37"/>
      <c r="K29" s="37">
        <v>2400</v>
      </c>
      <c r="L29" s="37"/>
      <c r="M29" s="37">
        <f>SUM(E29:L29)</f>
        <v>167416.91425</v>
      </c>
      <c r="N29" s="37">
        <f>M29/CALC!$A$8*CALC!$A$6</f>
        <v>5438.6064698204427</v>
      </c>
      <c r="O29" s="37">
        <f>+M29+N29</f>
        <v>172855.52071982046</v>
      </c>
      <c r="P29" s="48">
        <v>2</v>
      </c>
      <c r="Q29" s="49"/>
    </row>
    <row r="30" spans="1:17" s="9" customFormat="1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132000</v>
      </c>
      <c r="F30" s="37">
        <v>3000</v>
      </c>
      <c r="G30" s="37">
        <f>6057.27*(1+CALC!$A$2)</f>
        <v>4694.3842500000001</v>
      </c>
      <c r="H30" s="37">
        <f>7000</f>
        <v>7000</v>
      </c>
      <c r="I30" s="37">
        <v>29743.67</v>
      </c>
      <c r="J30" s="37"/>
      <c r="K30" s="37">
        <v>2400</v>
      </c>
      <c r="L30" s="37"/>
      <c r="M30" s="37">
        <f>SUM(E30:L30)</f>
        <v>178838.05424999999</v>
      </c>
      <c r="N30" s="37">
        <f>M30/CALC!$A$8*CALC!$A$6</f>
        <v>5809.6268423735401</v>
      </c>
      <c r="O30" s="37">
        <f>+M30+N30</f>
        <v>184647.68109237353</v>
      </c>
      <c r="P30" s="48">
        <v>2</v>
      </c>
      <c r="Q30" s="49"/>
    </row>
    <row r="31" spans="1:17" s="18" customFormat="1">
      <c r="A31" s="35"/>
      <c r="B31" s="4" t="s">
        <v>14</v>
      </c>
      <c r="C31" s="26"/>
      <c r="D31" s="16">
        <f>+D27+D28+D29+D30</f>
        <v>41000</v>
      </c>
      <c r="E31" s="14">
        <f>+E27+E28+E29+E30</f>
        <v>451000</v>
      </c>
      <c r="F31" s="14">
        <f t="shared" ref="F31:O31" si="3">+F27+F28+F29+F30</f>
        <v>12000</v>
      </c>
      <c r="G31" s="14">
        <f t="shared" si="3"/>
        <v>18777.537</v>
      </c>
      <c r="H31" s="14">
        <f t="shared" si="3"/>
        <v>127000</v>
      </c>
      <c r="I31" s="14">
        <f t="shared" si="3"/>
        <v>110865.48</v>
      </c>
      <c r="J31" s="14">
        <f t="shared" si="3"/>
        <v>0</v>
      </c>
      <c r="K31" s="14">
        <f t="shared" si="3"/>
        <v>9600</v>
      </c>
      <c r="L31" s="14">
        <f t="shared" si="3"/>
        <v>0</v>
      </c>
      <c r="M31" s="14">
        <f t="shared" si="3"/>
        <v>729243.01699999999</v>
      </c>
      <c r="N31" s="14">
        <f t="shared" si="3"/>
        <v>23689.755650406623</v>
      </c>
      <c r="O31" s="14">
        <f t="shared" si="3"/>
        <v>752932.7726504067</v>
      </c>
      <c r="P31" s="33"/>
      <c r="Q31" s="135">
        <f>(+O31/D31)*(1+CALC!$A$3)</f>
        <v>18.364213967083089</v>
      </c>
    </row>
    <row r="32" spans="1:17" ht="10.8" thickBot="1">
      <c r="Q32" s="21"/>
    </row>
    <row r="33" spans="1:17" ht="10.8" thickBot="1">
      <c r="A33" s="330" t="s">
        <v>10</v>
      </c>
      <c r="B33" s="331" t="s">
        <v>492</v>
      </c>
      <c r="D33" s="568" t="s">
        <v>679</v>
      </c>
      <c r="E33" s="569"/>
      <c r="F33" s="570"/>
      <c r="Q33" s="21"/>
    </row>
    <row r="34" spans="1:17">
      <c r="Q34" s="21"/>
    </row>
    <row r="35" spans="1:17" s="9" customFormat="1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146666.66666666669</v>
      </c>
      <c r="F35" s="37">
        <v>3000</v>
      </c>
      <c r="G35" s="37">
        <f>6057.27*(1+CALC!$A$2)</f>
        <v>4694.3842500000001</v>
      </c>
      <c r="H35" s="37">
        <f>95000</f>
        <v>95000</v>
      </c>
      <c r="I35" s="37">
        <v>51649.61</v>
      </c>
      <c r="J35" s="37"/>
      <c r="K35" s="37">
        <v>17160</v>
      </c>
      <c r="L35" s="37"/>
      <c r="M35" s="37">
        <f>SUM(E35:L35)</f>
        <v>318170.66091666667</v>
      </c>
      <c r="N35" s="32">
        <f>M35/CALC!$A$8*CALC!$A$6</f>
        <v>10335.903171554421</v>
      </c>
      <c r="O35" s="37">
        <f>+M35+N35</f>
        <v>328506.56408822112</v>
      </c>
      <c r="P35" s="48">
        <v>1.5</v>
      </c>
      <c r="Q35" s="49"/>
    </row>
    <row r="36" spans="1:17" s="18" customFormat="1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146666.66666666669</v>
      </c>
      <c r="F36" s="14">
        <f t="shared" si="4"/>
        <v>3000</v>
      </c>
      <c r="G36" s="37">
        <f>6057.27*(1+CALC!$A$2)</f>
        <v>4694.3842500000001</v>
      </c>
      <c r="H36" s="37">
        <f>20000*(1+CALC!$A$2)</f>
        <v>15500</v>
      </c>
      <c r="I36" s="14">
        <f t="shared" si="4"/>
        <v>51649.61</v>
      </c>
      <c r="J36" s="14">
        <f>SUM(J35)</f>
        <v>0</v>
      </c>
      <c r="K36" s="14">
        <f>SUM(K35:K35)</f>
        <v>17160</v>
      </c>
      <c r="L36" s="14">
        <f>+L35</f>
        <v>0</v>
      </c>
      <c r="M36" s="14">
        <f>SUM(M35:M35)</f>
        <v>318170.66091666667</v>
      </c>
      <c r="N36" s="14">
        <f>M36/CALC!$A$8*CALC!$A$6</f>
        <v>10335.903171554421</v>
      </c>
      <c r="O36" s="14">
        <f>+M36+N36</f>
        <v>328506.56408822112</v>
      </c>
      <c r="P36" s="33"/>
      <c r="Q36" s="135">
        <f>(+O36/D36)*(1+CALC!$A$3)</f>
        <v>32.850656408822111</v>
      </c>
    </row>
    <row r="37" spans="1:17" s="18" customFormat="1" ht="10.8" thickBot="1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0.8" thickBot="1">
      <c r="A38" s="330" t="s">
        <v>10</v>
      </c>
      <c r="B38" s="331" t="s">
        <v>493</v>
      </c>
      <c r="D38" s="568" t="s">
        <v>686</v>
      </c>
      <c r="E38" s="569"/>
      <c r="F38" s="570"/>
      <c r="Q38" s="21"/>
    </row>
    <row r="39" spans="1:17">
      <c r="Q39" s="21"/>
    </row>
    <row r="40" spans="1:17" s="9" customFormat="1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293333.33333333337</v>
      </c>
      <c r="F40" s="37">
        <v>3000</v>
      </c>
      <c r="G40" s="37">
        <f>6057.27*(1+CALC!$A$2)</f>
        <v>4694.3842500000001</v>
      </c>
      <c r="H40" s="37">
        <f>95000</f>
        <v>95000</v>
      </c>
      <c r="I40" s="37">
        <v>61654.92</v>
      </c>
      <c r="J40" s="37"/>
      <c r="K40" s="37">
        <v>10200</v>
      </c>
      <c r="L40" s="37"/>
      <c r="M40" s="37">
        <f>SUM(E40:L40)</f>
        <v>467882.63758333336</v>
      </c>
      <c r="N40" s="32">
        <f>M40/CALC!$A$8*CALC!$A$6</f>
        <v>15199.357551636214</v>
      </c>
      <c r="O40" s="37">
        <f>+M40+N40</f>
        <v>483081.99513496959</v>
      </c>
      <c r="P40" s="48">
        <v>1.5</v>
      </c>
      <c r="Q40" s="49"/>
    </row>
    <row r="41" spans="1:17" s="18" customFormat="1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293333.33333333337</v>
      </c>
      <c r="F41" s="14">
        <f t="shared" si="5"/>
        <v>3000</v>
      </c>
      <c r="G41" s="14">
        <f t="shared" si="5"/>
        <v>4694.3842500000001</v>
      </c>
      <c r="H41" s="14">
        <f t="shared" si="5"/>
        <v>95000</v>
      </c>
      <c r="I41" s="14">
        <f t="shared" si="5"/>
        <v>61654.92</v>
      </c>
      <c r="J41" s="14">
        <f>SUM(J40)</f>
        <v>0</v>
      </c>
      <c r="K41" s="14">
        <f t="shared" ref="K41:L41" si="6">SUM(K40)</f>
        <v>10200</v>
      </c>
      <c r="L41" s="14">
        <f t="shared" si="6"/>
        <v>0</v>
      </c>
      <c r="M41" s="14">
        <f>SUM(M40:M40)</f>
        <v>467882.63758333336</v>
      </c>
      <c r="N41" s="14">
        <f>M41/CALC!$A$8*CALC!$A$6</f>
        <v>15199.357551636214</v>
      </c>
      <c r="O41" s="14">
        <f>+M41+N41</f>
        <v>483081.99513496959</v>
      </c>
      <c r="P41" s="33"/>
      <c r="Q41" s="135">
        <f>(+O41/D41)*(1+CALC!$A$3)</f>
        <v>24.154099756748479</v>
      </c>
    </row>
    <row r="42" spans="1:17" ht="10.8" thickBot="1">
      <c r="Q42" s="21"/>
    </row>
    <row r="43" spans="1:17" ht="10.8" thickBot="1">
      <c r="A43" s="330" t="s">
        <v>10</v>
      </c>
      <c r="B43" s="331" t="s">
        <v>494</v>
      </c>
      <c r="D43" s="568" t="s">
        <v>677</v>
      </c>
      <c r="E43" s="569"/>
      <c r="F43" s="570"/>
      <c r="Q43" s="21"/>
    </row>
    <row r="44" spans="1:17">
      <c r="Q44" s="21"/>
    </row>
    <row r="45" spans="1:17">
      <c r="Q45" s="21"/>
    </row>
    <row r="46" spans="1:17" s="9" customFormat="1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220000</v>
      </c>
      <c r="F46" s="37">
        <v>3000</v>
      </c>
      <c r="G46" s="37">
        <f>6057.27*(1+CALC!$A$2)</f>
        <v>4694.3842500000001</v>
      </c>
      <c r="H46" s="37">
        <f>95000</f>
        <v>95000</v>
      </c>
      <c r="I46" s="37">
        <v>51540.91</v>
      </c>
      <c r="J46" s="37"/>
      <c r="K46" s="37">
        <v>17160</v>
      </c>
      <c r="L46" s="37"/>
      <c r="M46" s="37">
        <f>SUM(E46:L46)</f>
        <v>391395.29425000004</v>
      </c>
      <c r="N46" s="32">
        <f>M46/CALC!$A$8*CALC!$A$6</f>
        <v>12714.635131708777</v>
      </c>
      <c r="O46" s="37">
        <f>+M46+N46</f>
        <v>404109.92938170879</v>
      </c>
      <c r="P46" s="48">
        <v>1.5</v>
      </c>
      <c r="Q46" s="49"/>
    </row>
    <row r="47" spans="1:17" s="9" customFormat="1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220000</v>
      </c>
      <c r="F47" s="37">
        <v>3000</v>
      </c>
      <c r="G47" s="37">
        <f>6057.27*(1+CALC!$A$2)</f>
        <v>4694.3842500000001</v>
      </c>
      <c r="H47" s="37">
        <f>95000</f>
        <v>95000</v>
      </c>
      <c r="I47" s="37">
        <v>52994.6</v>
      </c>
      <c r="J47" s="37"/>
      <c r="K47" s="37">
        <v>17160</v>
      </c>
      <c r="L47" s="37"/>
      <c r="M47" s="37">
        <f>SUM(E47:L47)</f>
        <v>392848.98424999998</v>
      </c>
      <c r="N47" s="32">
        <f>M47/CALC!$A$8*CALC!$A$6</f>
        <v>12761.85884189679</v>
      </c>
      <c r="O47" s="37">
        <f>+M47+N47</f>
        <v>405610.84309189679</v>
      </c>
      <c r="P47" s="48">
        <v>1.5</v>
      </c>
      <c r="Q47" s="49"/>
    </row>
    <row r="48" spans="1:17" s="18" customFormat="1">
      <c r="A48" s="35"/>
      <c r="B48" s="4" t="s">
        <v>14</v>
      </c>
      <c r="C48" s="26"/>
      <c r="D48" s="16">
        <f>+D46+D47</f>
        <v>30000</v>
      </c>
      <c r="E48" s="14">
        <f>+E46+E47</f>
        <v>440000</v>
      </c>
      <c r="F48" s="14">
        <f t="shared" ref="F48:O48" si="7">+F46+F47</f>
        <v>6000</v>
      </c>
      <c r="G48" s="14">
        <f t="shared" si="7"/>
        <v>9388.7685000000001</v>
      </c>
      <c r="H48" s="14">
        <f t="shared" si="7"/>
        <v>190000</v>
      </c>
      <c r="I48" s="14">
        <f t="shared" si="7"/>
        <v>104535.51000000001</v>
      </c>
      <c r="J48" s="14">
        <f t="shared" si="7"/>
        <v>0</v>
      </c>
      <c r="K48" s="14">
        <f t="shared" si="7"/>
        <v>34320</v>
      </c>
      <c r="L48" s="14">
        <f t="shared" si="7"/>
        <v>0</v>
      </c>
      <c r="M48" s="14">
        <f t="shared" si="7"/>
        <v>784244.27850000001</v>
      </c>
      <c r="N48" s="14">
        <f t="shared" si="7"/>
        <v>25476.493973605568</v>
      </c>
      <c r="O48" s="14">
        <f t="shared" si="7"/>
        <v>809720.77247360558</v>
      </c>
      <c r="P48" s="14"/>
      <c r="Q48" s="135">
        <f>(+O48/D48)*(1+CALC!$A$3)</f>
        <v>26.990692415786853</v>
      </c>
    </row>
    <row r="49" spans="1:20" s="18" customFormat="1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0.8" thickBot="1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0.8" thickBot="1">
      <c r="A51" s="330" t="s">
        <v>10</v>
      </c>
      <c r="B51" s="331" t="s">
        <v>241</v>
      </c>
      <c r="D51" s="568" t="s">
        <v>237</v>
      </c>
      <c r="E51" s="569"/>
      <c r="F51" s="570"/>
      <c r="Q51" s="21"/>
    </row>
    <row r="52" spans="1:20">
      <c r="Q52" s="21"/>
    </row>
    <row r="53" spans="1:20" s="9" customFormat="1">
      <c r="A53" s="61" t="s">
        <v>237</v>
      </c>
      <c r="B53" s="61" t="s">
        <v>238</v>
      </c>
      <c r="C53" s="54">
        <v>420</v>
      </c>
      <c r="D53" s="46">
        <v>1500</v>
      </c>
      <c r="E53" s="62">
        <f>+D53/P53*(CALC!$A$4)</f>
        <v>471428.57142857142</v>
      </c>
      <c r="F53" s="37">
        <v>3000</v>
      </c>
      <c r="G53" s="37">
        <f>33000*(1+CALC!$A$2)</f>
        <v>25575</v>
      </c>
      <c r="H53" s="37">
        <f>630000</f>
        <v>630000</v>
      </c>
      <c r="I53" s="566">
        <f>0.75*358758.05</f>
        <v>269068.53749999998</v>
      </c>
      <c r="J53" s="37">
        <v>0</v>
      </c>
      <c r="K53" s="37">
        <v>240</v>
      </c>
      <c r="L53" s="37"/>
      <c r="M53" s="37">
        <f>SUM(E53:L53)</f>
        <v>1399312.1089285715</v>
      </c>
      <c r="N53" s="32">
        <f>M53/CALC!$A$8*CALC!$A$6</f>
        <v>45457.22230641947</v>
      </c>
      <c r="O53" s="37">
        <f>+M53+N53</f>
        <v>1444769.3312349909</v>
      </c>
      <c r="P53" s="48">
        <v>7.0000000000000007E-2</v>
      </c>
      <c r="Q53" s="49"/>
    </row>
    <row r="54" spans="1:20" s="9" customFormat="1">
      <c r="A54" s="61" t="s">
        <v>237</v>
      </c>
      <c r="B54" s="61" t="s">
        <v>239</v>
      </c>
      <c r="C54" s="54">
        <v>421</v>
      </c>
      <c r="D54" s="46">
        <v>1500</v>
      </c>
      <c r="E54" s="62">
        <f>+D54/P54*(CALC!$A$4)</f>
        <v>471428.57142857142</v>
      </c>
      <c r="F54" s="37">
        <v>3000</v>
      </c>
      <c r="G54" s="37">
        <f>33000*(1+CALC!$A$2)</f>
        <v>25575</v>
      </c>
      <c r="H54" s="37">
        <f>630000</f>
        <v>630000</v>
      </c>
      <c r="I54" s="566">
        <f>0.75*358758.05</f>
        <v>269068.53749999998</v>
      </c>
      <c r="J54" s="37">
        <v>0</v>
      </c>
      <c r="K54" s="37">
        <v>240</v>
      </c>
      <c r="L54" s="37"/>
      <c r="M54" s="37">
        <f>SUM(E54:L54)</f>
        <v>1399312.1089285715</v>
      </c>
      <c r="N54" s="32">
        <f>M54/CALC!$A$8*CALC!$A$6</f>
        <v>45457.22230641947</v>
      </c>
      <c r="O54" s="37">
        <f>+M54+N54</f>
        <v>1444769.3312349909</v>
      </c>
      <c r="P54" s="48">
        <v>7.0000000000000007E-2</v>
      </c>
      <c r="Q54" s="49"/>
      <c r="R54" s="25"/>
      <c r="S54" s="25"/>
      <c r="T54" s="25"/>
    </row>
    <row r="55" spans="1:20" s="18" customFormat="1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942857.14285714284</v>
      </c>
      <c r="F55" s="14">
        <f t="shared" si="8"/>
        <v>6000</v>
      </c>
      <c r="G55" s="14">
        <f t="shared" si="8"/>
        <v>51150</v>
      </c>
      <c r="H55" s="14">
        <f t="shared" si="8"/>
        <v>1260000</v>
      </c>
      <c r="I55" s="14">
        <f t="shared" si="8"/>
        <v>538137.07499999995</v>
      </c>
      <c r="J55" s="14">
        <f t="shared" si="8"/>
        <v>0</v>
      </c>
      <c r="K55" s="14">
        <f t="shared" si="8"/>
        <v>480</v>
      </c>
      <c r="L55" s="14">
        <f t="shared" si="8"/>
        <v>0</v>
      </c>
      <c r="M55" s="14">
        <f t="shared" si="8"/>
        <v>2798624.2178571429</v>
      </c>
      <c r="N55" s="14">
        <f t="shared" si="8"/>
        <v>90914.444612838939</v>
      </c>
      <c r="O55" s="14">
        <f t="shared" si="8"/>
        <v>2889538.6624699817</v>
      </c>
      <c r="P55" s="33"/>
      <c r="Q55" s="135">
        <f>(+O55/D55)*(1+CALC!$A$3)</f>
        <v>963.17955415666052</v>
      </c>
    </row>
    <row r="56" spans="1:20" ht="10.8" thickBot="1">
      <c r="Q56" s="21"/>
    </row>
    <row r="57" spans="1:20" s="9" customFormat="1" ht="10.8" thickBot="1">
      <c r="A57" s="330" t="s">
        <v>10</v>
      </c>
      <c r="B57" s="331" t="s">
        <v>495</v>
      </c>
      <c r="C57" s="153"/>
      <c r="D57" s="568" t="s">
        <v>449</v>
      </c>
      <c r="E57" s="569"/>
      <c r="F57" s="570"/>
      <c r="P57" s="65"/>
      <c r="Q57" s="49"/>
    </row>
    <row r="58" spans="1:20" s="9" customFormat="1">
      <c r="C58" s="153"/>
      <c r="D58" s="23"/>
      <c r="P58" s="65"/>
      <c r="Q58" s="49"/>
    </row>
    <row r="59" spans="1:20" s="9" customFormat="1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146666.66666666669</v>
      </c>
      <c r="F59" s="37">
        <v>3000</v>
      </c>
      <c r="G59" s="37">
        <f>33000*(1+CALC!$A$2)</f>
        <v>25575</v>
      </c>
      <c r="H59" s="37">
        <f>153000</f>
        <v>153000</v>
      </c>
      <c r="I59" s="37">
        <v>0</v>
      </c>
      <c r="J59" s="37"/>
      <c r="K59" s="37">
        <v>600</v>
      </c>
      <c r="L59" s="37"/>
      <c r="M59" s="37">
        <f>SUM(E59:L59)</f>
        <v>328841.66666666669</v>
      </c>
      <c r="N59" s="32">
        <f>M59/CALC!$A$8*CALC!$A$6</f>
        <v>10682.555128266384</v>
      </c>
      <c r="O59" s="37">
        <f>+M59+N59</f>
        <v>339524.22179493308</v>
      </c>
      <c r="P59" s="48">
        <v>0.15</v>
      </c>
      <c r="Q59" s="49"/>
    </row>
    <row r="60" spans="1:20" s="9" customFormat="1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146666.66666666669</v>
      </c>
      <c r="F60" s="37">
        <v>3000</v>
      </c>
      <c r="G60" s="37">
        <f>33000*(1+CALC!$A$2)</f>
        <v>25575</v>
      </c>
      <c r="H60" s="37">
        <f>153000</f>
        <v>153000</v>
      </c>
      <c r="I60" s="37">
        <v>64108.41</v>
      </c>
      <c r="J60" s="37"/>
      <c r="K60" s="37">
        <v>600</v>
      </c>
      <c r="L60" s="37"/>
      <c r="M60" s="37">
        <f>SUM(E60:L60)</f>
        <v>392950.07666666666</v>
      </c>
      <c r="N60" s="32">
        <f>M60/CALC!$A$8*CALC!$A$6</f>
        <v>12765.142870119362</v>
      </c>
      <c r="O60" s="37">
        <f>+M60+N60</f>
        <v>405715.21953678603</v>
      </c>
      <c r="P60" s="48">
        <v>0.15</v>
      </c>
      <c r="Q60" s="49"/>
    </row>
    <row r="61" spans="1:20" s="10" customFormat="1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293333.33333333337</v>
      </c>
      <c r="F61" s="32">
        <f t="shared" si="9"/>
        <v>6000</v>
      </c>
      <c r="G61" s="32">
        <f t="shared" si="9"/>
        <v>51150</v>
      </c>
      <c r="H61" s="32">
        <f t="shared" si="9"/>
        <v>306000</v>
      </c>
      <c r="I61" s="32">
        <f t="shared" si="9"/>
        <v>64108.41</v>
      </c>
      <c r="J61" s="32">
        <f t="shared" si="9"/>
        <v>0</v>
      </c>
      <c r="K61" s="32">
        <f t="shared" si="9"/>
        <v>1200</v>
      </c>
      <c r="L61" s="14">
        <f t="shared" ref="L61" si="10">+L59+L60</f>
        <v>0</v>
      </c>
      <c r="M61" s="32">
        <f t="shared" si="9"/>
        <v>721791.7433333334</v>
      </c>
      <c r="N61" s="32">
        <f t="shared" si="9"/>
        <v>23447.697998385745</v>
      </c>
      <c r="O61" s="32">
        <f t="shared" si="9"/>
        <v>745239.44133171905</v>
      </c>
      <c r="P61" s="50"/>
      <c r="Q61" s="51">
        <f>(+O61/D61)*(1+CALC!$A$3)</f>
        <v>372.61972066585952</v>
      </c>
    </row>
    <row r="62" spans="1:20" s="9" customFormat="1" ht="10.8" thickBot="1">
      <c r="C62" s="153"/>
      <c r="D62" s="23"/>
      <c r="P62" s="65"/>
      <c r="Q62" s="49"/>
    </row>
    <row r="63" spans="1:20" s="9" customFormat="1" ht="10.8" thickBot="1">
      <c r="A63" s="330" t="s">
        <v>10</v>
      </c>
      <c r="B63" s="331" t="s">
        <v>496</v>
      </c>
      <c r="C63" s="153"/>
      <c r="D63" s="568" t="s">
        <v>450</v>
      </c>
      <c r="E63" s="569"/>
      <c r="F63" s="570"/>
      <c r="P63" s="65"/>
      <c r="Q63" s="49"/>
    </row>
    <row r="64" spans="1:20" s="9" customFormat="1">
      <c r="C64" s="153"/>
      <c r="D64" s="23"/>
      <c r="P64" s="65"/>
      <c r="Q64" s="49"/>
    </row>
    <row r="65" spans="1:20" s="9" customFormat="1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146666.66666666669</v>
      </c>
      <c r="F65" s="37">
        <v>3000</v>
      </c>
      <c r="G65" s="37">
        <f>33000*(1+CALC!$A$2)</f>
        <v>25575</v>
      </c>
      <c r="H65" s="37">
        <f>115000</f>
        <v>115000</v>
      </c>
      <c r="I65" s="566">
        <v>169375.69</v>
      </c>
      <c r="J65" s="37"/>
      <c r="K65" s="91">
        <v>0</v>
      </c>
      <c r="L65" s="37"/>
      <c r="M65" s="37">
        <f>SUM(E65:L65)</f>
        <v>459617.35666666669</v>
      </c>
      <c r="N65" s="32">
        <f>M65/CALC!$A$8*CALC!$A$6</f>
        <v>14930.856543421825</v>
      </c>
      <c r="O65" s="37">
        <f>+M65+N65</f>
        <v>474548.21321008849</v>
      </c>
      <c r="P65" s="48">
        <v>0.15</v>
      </c>
      <c r="Q65" s="49"/>
    </row>
    <row r="66" spans="1:20" s="9" customFormat="1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146666.66666666669</v>
      </c>
      <c r="F66" s="37">
        <v>3000</v>
      </c>
      <c r="G66" s="37">
        <f>33000*(1+CALC!$A$2)</f>
        <v>25575</v>
      </c>
      <c r="H66" s="37">
        <f>115000</f>
        <v>115000</v>
      </c>
      <c r="I66" s="566">
        <v>169375.69</v>
      </c>
      <c r="J66" s="37"/>
      <c r="K66" s="91">
        <v>0</v>
      </c>
      <c r="L66" s="37"/>
      <c r="M66" s="37">
        <f>SUM(E66:L66)</f>
        <v>459617.35666666669</v>
      </c>
      <c r="N66" s="32">
        <f>M66/CALC!$A$8*CALC!$A$6</f>
        <v>14930.856543421825</v>
      </c>
      <c r="O66" s="37">
        <f>+M66+N66</f>
        <v>474548.21321008849</v>
      </c>
      <c r="P66" s="48">
        <v>0.15</v>
      </c>
      <c r="Q66" s="49"/>
    </row>
    <row r="67" spans="1:20" s="10" customFormat="1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293333.33333333337</v>
      </c>
      <c r="F67" s="32">
        <f t="shared" si="11"/>
        <v>6000</v>
      </c>
      <c r="G67" s="32">
        <f t="shared" si="11"/>
        <v>51150</v>
      </c>
      <c r="H67" s="32">
        <f t="shared" si="11"/>
        <v>230000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919234.71333333338</v>
      </c>
      <c r="N67" s="32">
        <f>M67/CALC!$A$8*CALC!$A$6</f>
        <v>29861.713086843651</v>
      </c>
      <c r="O67" s="32">
        <f>+M67+N67</f>
        <v>949096.42642017698</v>
      </c>
      <c r="P67" s="50"/>
      <c r="Q67" s="51">
        <f>(+O67/D67)*(1+CALC!$A$3)</f>
        <v>474.54821321008848</v>
      </c>
    </row>
    <row r="68" spans="1:20" s="9" customFormat="1" ht="10.8" thickBot="1">
      <c r="C68" s="153"/>
      <c r="D68" s="23"/>
      <c r="P68" s="65"/>
      <c r="Q68" s="49"/>
    </row>
    <row r="69" spans="1:20" s="9" customFormat="1" ht="10.8" thickBot="1">
      <c r="A69" s="330" t="s">
        <v>10</v>
      </c>
      <c r="B69" s="331" t="s">
        <v>497</v>
      </c>
      <c r="C69" s="153"/>
      <c r="D69" s="568" t="s">
        <v>452</v>
      </c>
      <c r="E69" s="569"/>
      <c r="F69" s="570"/>
      <c r="P69" s="65"/>
      <c r="Q69" s="49"/>
    </row>
    <row r="70" spans="1:20" s="9" customFormat="1">
      <c r="C70" s="153"/>
      <c r="D70" s="23"/>
      <c r="P70" s="65"/>
      <c r="Q70" s="49"/>
    </row>
    <row r="71" spans="1:20" s="9" customFormat="1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25575</v>
      </c>
      <c r="H71" s="37">
        <f>95000</f>
        <v>95000</v>
      </c>
      <c r="I71" s="37">
        <v>67302.240000000005</v>
      </c>
      <c r="J71" s="37"/>
      <c r="K71" s="37">
        <v>10200</v>
      </c>
      <c r="L71" s="37"/>
      <c r="M71" s="37">
        <f>SUM(E71:L71)</f>
        <v>247077.24</v>
      </c>
      <c r="N71" s="32">
        <f>M71/CALC!$A$8*CALC!$A$6</f>
        <v>8026.4045125259981</v>
      </c>
      <c r="O71" s="37">
        <f>+M71+N71</f>
        <v>255103.64451252599</v>
      </c>
      <c r="P71" s="48">
        <v>0.15</v>
      </c>
      <c r="Q71" s="49"/>
    </row>
    <row r="72" spans="1:20" s="9" customFormat="1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25575</v>
      </c>
      <c r="H72" s="37">
        <f>95000</f>
        <v>95000</v>
      </c>
      <c r="I72" s="567">
        <v>67302.17</v>
      </c>
      <c r="J72" s="37"/>
      <c r="K72" s="37">
        <v>10200</v>
      </c>
      <c r="L72" s="37"/>
      <c r="M72" s="37">
        <f>SUM(E72:L72)</f>
        <v>224077.16999999998</v>
      </c>
      <c r="N72" s="32">
        <f>M72/CALC!$A$8*CALC!$A$6</f>
        <v>7279.2378951701712</v>
      </c>
      <c r="O72" s="37">
        <f>+M72+N72</f>
        <v>231356.40789517015</v>
      </c>
      <c r="P72" s="48">
        <v>0.15</v>
      </c>
      <c r="Q72" s="49"/>
    </row>
    <row r="73" spans="1:20" s="10" customFormat="1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51150</v>
      </c>
      <c r="H73" s="32">
        <f t="shared" si="13"/>
        <v>190000</v>
      </c>
      <c r="I73" s="32">
        <f t="shared" si="13"/>
        <v>134604.41</v>
      </c>
      <c r="J73" s="32">
        <f t="shared" si="13"/>
        <v>0</v>
      </c>
      <c r="K73" s="32">
        <f t="shared" si="13"/>
        <v>20400</v>
      </c>
      <c r="L73" s="14">
        <f t="shared" ref="L73" si="14">+L71+L72</f>
        <v>0</v>
      </c>
      <c r="M73" s="32">
        <f>SUM(M71:M72)</f>
        <v>471154.41</v>
      </c>
      <c r="N73" s="32">
        <f>M73/CALC!$A$8*CALC!$A$6</f>
        <v>15305.64240769617</v>
      </c>
      <c r="O73" s="32">
        <f>+M73+N73</f>
        <v>486460.05240769614</v>
      </c>
      <c r="P73" s="50"/>
      <c r="Q73" s="51">
        <f>(+O73/D73)*(1+CALC!$A$3)</f>
        <v>32.430670160513074</v>
      </c>
    </row>
    <row r="74" spans="1:20" s="9" customFormat="1" ht="10.8" thickBot="1">
      <c r="C74" s="153"/>
      <c r="D74" s="23"/>
      <c r="P74" s="65"/>
      <c r="Q74" s="49"/>
    </row>
    <row r="75" spans="1:20" s="9" customFormat="1" ht="10.8" thickBot="1">
      <c r="A75" s="330" t="s">
        <v>10</v>
      </c>
      <c r="B75" s="331" t="s">
        <v>498</v>
      </c>
      <c r="C75" s="153"/>
      <c r="D75" s="568" t="s">
        <v>451</v>
      </c>
      <c r="E75" s="569"/>
      <c r="F75" s="570"/>
      <c r="P75" s="65"/>
      <c r="Q75" s="49"/>
    </row>
    <row r="76" spans="1:20" s="9" customFormat="1">
      <c r="C76" s="153"/>
      <c r="D76" s="23"/>
      <c r="P76" s="65"/>
      <c r="Q76" s="49"/>
    </row>
    <row r="77" spans="1:20" s="9" customFormat="1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4694.95</v>
      </c>
      <c r="H77" s="37">
        <f>95000</f>
        <v>95000</v>
      </c>
      <c r="I77" s="37">
        <v>34916.67</v>
      </c>
      <c r="J77" s="37"/>
      <c r="K77" s="37">
        <v>17160</v>
      </c>
      <c r="L77" s="37"/>
      <c r="M77" s="37">
        <f>SUM(E77:L77)</f>
        <v>200771.62</v>
      </c>
      <c r="N77" s="32">
        <f>M77/CALC!$A$8*CALC!$A$6</f>
        <v>6522.1476359180433</v>
      </c>
      <c r="O77" s="37">
        <f>+M77+N77</f>
        <v>207293.76763591805</v>
      </c>
      <c r="P77" s="48">
        <v>0.15</v>
      </c>
      <c r="Q77" s="49"/>
    </row>
    <row r="78" spans="1:20" s="9" customFormat="1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4694.95</v>
      </c>
      <c r="H78" s="37">
        <f>95000</f>
        <v>95000</v>
      </c>
      <c r="I78" s="37">
        <v>34916.67</v>
      </c>
      <c r="J78" s="37"/>
      <c r="K78" s="37">
        <v>17160</v>
      </c>
      <c r="L78" s="37"/>
      <c r="M78" s="37">
        <f>SUM(E78:L78)</f>
        <v>200771.62</v>
      </c>
      <c r="N78" s="32">
        <f>M78/CALC!$A$8*CALC!$A$6</f>
        <v>6522.1476359180433</v>
      </c>
      <c r="O78" s="37">
        <f>+M78+N78</f>
        <v>207293.76763591805</v>
      </c>
      <c r="P78" s="48">
        <v>0.15</v>
      </c>
      <c r="Q78" s="49"/>
      <c r="R78" s="25"/>
      <c r="S78" s="25"/>
      <c r="T78" s="25"/>
    </row>
    <row r="79" spans="1:20" s="9" customFormat="1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4694.95</v>
      </c>
      <c r="H79" s="37">
        <f>95000</f>
        <v>95000</v>
      </c>
      <c r="I79" s="37">
        <v>34916.67</v>
      </c>
      <c r="J79" s="37"/>
      <c r="K79" s="37">
        <v>17160</v>
      </c>
      <c r="L79" s="37"/>
      <c r="M79" s="37">
        <f>SUM(E79:L79)</f>
        <v>200771.62</v>
      </c>
      <c r="N79" s="32">
        <f>M79/CALC!$A$8*CALC!$A$6</f>
        <v>6522.1476359180433</v>
      </c>
      <c r="O79" s="37">
        <f>+M79+N79</f>
        <v>207293.76763591805</v>
      </c>
      <c r="P79" s="48">
        <v>0.15</v>
      </c>
      <c r="Q79" s="49"/>
    </row>
    <row r="80" spans="1:20" s="9" customFormat="1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4694.95</v>
      </c>
      <c r="H80" s="37">
        <f>95000</f>
        <v>95000</v>
      </c>
      <c r="I80" s="37">
        <v>34916.67</v>
      </c>
      <c r="J80" s="37"/>
      <c r="K80" s="37">
        <v>17160</v>
      </c>
      <c r="L80" s="37"/>
      <c r="M80" s="37">
        <f>SUM(E80:L80)</f>
        <v>200771.62</v>
      </c>
      <c r="N80" s="32">
        <f>M80/CALC!$A$8*CALC!$A$6</f>
        <v>6522.1476359180433</v>
      </c>
      <c r="O80" s="37">
        <f>+M80+N80</f>
        <v>207293.76763591805</v>
      </c>
      <c r="P80" s="48">
        <v>0.15</v>
      </c>
      <c r="Q80" s="49"/>
    </row>
    <row r="81" spans="1:17" s="10" customFormat="1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18779.8</v>
      </c>
      <c r="H81" s="32">
        <f t="shared" si="15"/>
        <v>380000</v>
      </c>
      <c r="I81" s="32">
        <f t="shared" si="15"/>
        <v>139666.68</v>
      </c>
      <c r="J81" s="32">
        <f t="shared" si="15"/>
        <v>0</v>
      </c>
      <c r="K81" s="546">
        <f t="shared" si="15"/>
        <v>68640</v>
      </c>
      <c r="L81" s="32">
        <f t="shared" si="15"/>
        <v>0</v>
      </c>
      <c r="M81" s="32">
        <f t="shared" si="15"/>
        <v>803086.48</v>
      </c>
      <c r="N81" s="32">
        <f t="shared" si="15"/>
        <v>26088.590543672173</v>
      </c>
      <c r="O81" s="32">
        <f t="shared" si="15"/>
        <v>829175.07054367219</v>
      </c>
      <c r="P81" s="50"/>
      <c r="Q81" s="51">
        <f>(+O81/D81)*(1+CALC!$A$3)</f>
        <v>20.729376763591805</v>
      </c>
    </row>
    <row r="82" spans="1:17">
      <c r="Q82" s="21"/>
    </row>
    <row r="83" spans="1:17" ht="10.8" thickBot="1">
      <c r="Q83" s="21"/>
    </row>
    <row r="84" spans="1:17" ht="10.8" thickBot="1">
      <c r="A84" s="330" t="s">
        <v>10</v>
      </c>
      <c r="B84" s="331" t="s">
        <v>150</v>
      </c>
      <c r="D84" s="568" t="s">
        <v>26</v>
      </c>
      <c r="E84" s="569"/>
      <c r="F84" s="570"/>
      <c r="Q84" s="21"/>
    </row>
    <row r="85" spans="1:17">
      <c r="Q85" s="21"/>
    </row>
    <row r="86" spans="1:17" s="549" customFormat="1">
      <c r="A86" s="542" t="s">
        <v>91</v>
      </c>
      <c r="B86" s="542" t="s">
        <v>171</v>
      </c>
      <c r="C86" s="384">
        <v>99</v>
      </c>
      <c r="D86" s="543">
        <v>25</v>
      </c>
      <c r="E86" s="550">
        <f>+D86/P86*(CALC!$A$4)</f>
        <v>1527.7777777777778</v>
      </c>
      <c r="F86" s="545"/>
      <c r="G86" s="545">
        <f>800*(1+CALC!$A$2)</f>
        <v>620</v>
      </c>
      <c r="H86" s="545">
        <f>3000*(1+CALC!$A$2)</f>
        <v>2325</v>
      </c>
      <c r="I86" s="545"/>
      <c r="J86" s="545"/>
      <c r="K86" s="545">
        <v>468</v>
      </c>
      <c r="L86" s="545"/>
      <c r="M86" s="545">
        <f t="shared" ref="M86:M100" si="16">SUM(E86:L86)</f>
        <v>4940.7777777777774</v>
      </c>
      <c r="N86" s="546">
        <f>M86/CALC!$A$8*CALC!$A$6</f>
        <v>160.50317322204074</v>
      </c>
      <c r="O86" s="545">
        <f>+M86+N86</f>
        <v>5101.2809509998178</v>
      </c>
      <c r="P86" s="547">
        <v>0.36</v>
      </c>
      <c r="Q86" s="548"/>
    </row>
    <row r="87" spans="1:17" s="549" customFormat="1">
      <c r="A87" s="542" t="s">
        <v>38</v>
      </c>
      <c r="B87" s="542" t="s">
        <v>168</v>
      </c>
      <c r="C87" s="384">
        <v>101</v>
      </c>
      <c r="D87" s="543">
        <v>0</v>
      </c>
      <c r="E87" s="550">
        <f>+D87/P87*(CALC!$A$4)</f>
        <v>0</v>
      </c>
      <c r="F87" s="545"/>
      <c r="G87" s="545">
        <f>1800*(1+CALC!$A$2)</f>
        <v>1395</v>
      </c>
      <c r="H87" s="545">
        <f>7000*(1+CALC!$A$2)</f>
        <v>5425</v>
      </c>
      <c r="I87" s="545"/>
      <c r="J87" s="545"/>
      <c r="K87" s="545">
        <v>468</v>
      </c>
      <c r="L87" s="545"/>
      <c r="M87" s="545">
        <f t="shared" si="16"/>
        <v>7288</v>
      </c>
      <c r="N87" s="546">
        <f>M87/CALC!$A$8*CALC!$A$6</f>
        <v>236.75364063193146</v>
      </c>
      <c r="O87" s="562">
        <f>+M87</f>
        <v>7288</v>
      </c>
      <c r="P87" s="547">
        <v>3</v>
      </c>
      <c r="Q87" s="548"/>
    </row>
    <row r="88" spans="1:17" s="549" customFormat="1">
      <c r="A88" s="542" t="s">
        <v>86</v>
      </c>
      <c r="B88" s="542" t="s">
        <v>162</v>
      </c>
      <c r="C88" s="384">
        <v>102</v>
      </c>
      <c r="D88" s="543">
        <v>0</v>
      </c>
      <c r="E88" s="550">
        <f>+D88/P88*(CALC!$A$4)</f>
        <v>0</v>
      </c>
      <c r="F88" s="545"/>
      <c r="G88" s="545">
        <f>710*(1+CALC!$A$2)</f>
        <v>550.25</v>
      </c>
      <c r="H88" s="545">
        <f>3100*(1+CALC!$A$2)</f>
        <v>2402.5</v>
      </c>
      <c r="I88" s="545"/>
      <c r="J88" s="545"/>
      <c r="K88" s="545">
        <v>468</v>
      </c>
      <c r="L88" s="545"/>
      <c r="M88" s="545">
        <f t="shared" si="16"/>
        <v>3420.75</v>
      </c>
      <c r="N88" s="546">
        <f>M88/CALC!$A$8*CALC!$A$6</f>
        <v>111.12445337426998</v>
      </c>
      <c r="O88" s="545">
        <f>+M88+N88</f>
        <v>3531.8744533742702</v>
      </c>
      <c r="P88" s="547">
        <v>0.36</v>
      </c>
      <c r="Q88" s="548"/>
    </row>
    <row r="89" spans="1:17" s="549" customFormat="1">
      <c r="A89" s="542" t="s">
        <v>95</v>
      </c>
      <c r="B89" s="542" t="s">
        <v>169</v>
      </c>
      <c r="C89" s="384">
        <v>104</v>
      </c>
      <c r="D89" s="543">
        <v>0</v>
      </c>
      <c r="E89" s="550">
        <f>+D89/P89*(CALC!$A$4)</f>
        <v>0</v>
      </c>
      <c r="F89" s="545"/>
      <c r="G89" s="545">
        <f>710*(1+CALC!$A$2)</f>
        <v>550.25</v>
      </c>
      <c r="H89" s="545">
        <f>3100*(1+CALC!$A$2)</f>
        <v>2402.5</v>
      </c>
      <c r="I89" s="545"/>
      <c r="J89" s="545"/>
      <c r="K89" s="545">
        <v>468</v>
      </c>
      <c r="L89" s="545"/>
      <c r="M89" s="545">
        <f t="shared" si="16"/>
        <v>3420.75</v>
      </c>
      <c r="N89" s="546">
        <f>M89/CALC!$A$8*CALC!$A$6</f>
        <v>111.12445337426998</v>
      </c>
      <c r="O89" s="562">
        <f>+M89</f>
        <v>3420.75</v>
      </c>
      <c r="P89" s="547">
        <v>2.5</v>
      </c>
      <c r="Q89" s="548"/>
    </row>
    <row r="90" spans="1:17" s="549" customFormat="1">
      <c r="A90" s="542" t="s">
        <v>96</v>
      </c>
      <c r="B90" s="542" t="s">
        <v>132</v>
      </c>
      <c r="C90" s="384">
        <v>105</v>
      </c>
      <c r="D90" s="543">
        <v>0</v>
      </c>
      <c r="E90" s="550">
        <f>+D90/P90*(CALC!$A$4)</f>
        <v>0</v>
      </c>
      <c r="F90" s="545"/>
      <c r="G90" s="545">
        <f>710*(1+CALC!$A$2)</f>
        <v>550.25</v>
      </c>
      <c r="H90" s="545">
        <f>3100*(1+CALC!$A$2)</f>
        <v>2402.5</v>
      </c>
      <c r="I90" s="545"/>
      <c r="J90" s="545"/>
      <c r="K90" s="545">
        <v>468</v>
      </c>
      <c r="L90" s="545"/>
      <c r="M90" s="545">
        <f t="shared" si="16"/>
        <v>3420.75</v>
      </c>
      <c r="N90" s="546">
        <f>M90/CALC!$A$8*CALC!$A$6</f>
        <v>111.12445337426998</v>
      </c>
      <c r="O90" s="562">
        <f>+M90</f>
        <v>3420.75</v>
      </c>
      <c r="P90" s="547">
        <v>1.8</v>
      </c>
      <c r="Q90" s="548"/>
    </row>
    <row r="91" spans="1:17" s="549" customFormat="1">
      <c r="A91" s="542" t="s">
        <v>97</v>
      </c>
      <c r="B91" s="542" t="s">
        <v>170</v>
      </c>
      <c r="C91" s="384">
        <v>106</v>
      </c>
      <c r="D91" s="543">
        <v>0</v>
      </c>
      <c r="E91" s="550">
        <f>+D91/P91*(CALC!$A$4)</f>
        <v>0</v>
      </c>
      <c r="F91" s="545"/>
      <c r="G91" s="545">
        <f>710*(1+CALC!$A$2)</f>
        <v>550.25</v>
      </c>
      <c r="H91" s="545">
        <f>3100*(1+CALC!$A$2)</f>
        <v>2402.5</v>
      </c>
      <c r="I91" s="545"/>
      <c r="J91" s="545"/>
      <c r="K91" s="545">
        <v>468</v>
      </c>
      <c r="L91" s="545"/>
      <c r="M91" s="545">
        <f t="shared" si="16"/>
        <v>3420.75</v>
      </c>
      <c r="N91" s="546">
        <f>M91/CALC!$A$8*CALC!$A$6</f>
        <v>111.12445337426998</v>
      </c>
      <c r="O91" s="562">
        <f>+M91</f>
        <v>3420.75</v>
      </c>
      <c r="P91" s="547">
        <v>2</v>
      </c>
      <c r="Q91" s="548"/>
    </row>
    <row r="92" spans="1:17" s="549" customFormat="1">
      <c r="A92" s="542" t="s">
        <v>89</v>
      </c>
      <c r="B92" s="542" t="s">
        <v>163</v>
      </c>
      <c r="C92" s="384">
        <v>109</v>
      </c>
      <c r="D92" s="543">
        <v>0</v>
      </c>
      <c r="E92" s="550">
        <f>+D92/P92*(CALC!$A$4)</f>
        <v>0</v>
      </c>
      <c r="F92" s="545"/>
      <c r="G92" s="545">
        <f>710*(1+CALC!$A$2)</f>
        <v>550.25</v>
      </c>
      <c r="H92" s="545">
        <f>3100*(1+CALC!$A$2)</f>
        <v>2402.5</v>
      </c>
      <c r="I92" s="545"/>
      <c r="J92" s="545"/>
      <c r="K92" s="545">
        <v>468</v>
      </c>
      <c r="L92" s="545"/>
      <c r="M92" s="545">
        <f t="shared" si="16"/>
        <v>3420.75</v>
      </c>
      <c r="N92" s="546">
        <f>M92/CALC!$A$8*CALC!$A$6</f>
        <v>111.12445337426998</v>
      </c>
      <c r="O92" s="545">
        <f t="shared" ref="O92:O101" si="17">+M92+N92</f>
        <v>3531.8744533742702</v>
      </c>
      <c r="P92" s="547">
        <v>0.1</v>
      </c>
      <c r="Q92" s="548"/>
    </row>
    <row r="93" spans="1:17" s="549" customFormat="1">
      <c r="A93" s="542" t="s">
        <v>25</v>
      </c>
      <c r="B93" s="542" t="s">
        <v>117</v>
      </c>
      <c r="C93" s="384">
        <v>118</v>
      </c>
      <c r="D93" s="543">
        <v>0</v>
      </c>
      <c r="E93" s="550">
        <f>+D93/P93*(CALC!$A$4)</f>
        <v>0</v>
      </c>
      <c r="F93" s="545">
        <v>3000</v>
      </c>
      <c r="G93" s="545">
        <f>5000*(1+CALC!$A$2)</f>
        <v>3875</v>
      </c>
      <c r="H93" s="545">
        <f>25000*(1+CALC!$A$2)</f>
        <v>19375</v>
      </c>
      <c r="I93" s="545"/>
      <c r="J93" s="545"/>
      <c r="K93" s="545">
        <v>468</v>
      </c>
      <c r="L93" s="545"/>
      <c r="M93" s="545">
        <f t="shared" si="16"/>
        <v>26718</v>
      </c>
      <c r="N93" s="546">
        <f>M93/CALC!$A$8*CALC!$A$6</f>
        <v>867.94508375465762</v>
      </c>
      <c r="O93" s="545">
        <f t="shared" si="17"/>
        <v>27585.945083754657</v>
      </c>
      <c r="P93" s="547">
        <v>0.27</v>
      </c>
      <c r="Q93" s="548"/>
    </row>
    <row r="94" spans="1:17" s="549" customFormat="1">
      <c r="A94" s="542" t="s">
        <v>25</v>
      </c>
      <c r="B94" s="542" t="s">
        <v>118</v>
      </c>
      <c r="C94" s="384">
        <v>119</v>
      </c>
      <c r="D94" s="543">
        <v>0</v>
      </c>
      <c r="E94" s="550">
        <f>+D94/P94*(CALC!$A$4)</f>
        <v>0</v>
      </c>
      <c r="F94" s="545">
        <v>3000</v>
      </c>
      <c r="G94" s="545">
        <f>5000*(1+CALC!$A$2)</f>
        <v>3875</v>
      </c>
      <c r="H94" s="545">
        <f>6000*(1+CALC!$A$2)</f>
        <v>4650</v>
      </c>
      <c r="I94" s="545"/>
      <c r="J94" s="545"/>
      <c r="K94" s="545">
        <v>468</v>
      </c>
      <c r="L94" s="545"/>
      <c r="M94" s="545">
        <f t="shared" si="16"/>
        <v>11993</v>
      </c>
      <c r="N94" s="546">
        <f>M94/CALC!$A$8*CALC!$A$6</f>
        <v>389.59747696195859</v>
      </c>
      <c r="O94" s="545">
        <f t="shared" si="17"/>
        <v>12382.597476961959</v>
      </c>
      <c r="P94" s="547">
        <v>0.27</v>
      </c>
      <c r="Q94" s="548"/>
    </row>
    <row r="95" spans="1:17" s="549" customFormat="1">
      <c r="A95" s="542" t="s">
        <v>90</v>
      </c>
      <c r="B95" s="542" t="s">
        <v>119</v>
      </c>
      <c r="C95" s="384">
        <v>120</v>
      </c>
      <c r="D95" s="543">
        <v>300</v>
      </c>
      <c r="E95" s="550">
        <f>+D95/P95*(CALC!$A$4)</f>
        <v>66000</v>
      </c>
      <c r="F95" s="545"/>
      <c r="G95" s="545">
        <f>3000*(1+CALC!$A$2)</f>
        <v>2325</v>
      </c>
      <c r="H95" s="545">
        <f>20000*(1+CALC!$A$2)</f>
        <v>15500</v>
      </c>
      <c r="I95" s="545"/>
      <c r="J95" s="545"/>
      <c r="K95" s="545">
        <v>468</v>
      </c>
      <c r="L95" s="545"/>
      <c r="M95" s="545">
        <f t="shared" si="16"/>
        <v>84293</v>
      </c>
      <c r="N95" s="546">
        <f>M95/CALC!$A$8*CALC!$A$6</f>
        <v>2738.2923476656697</v>
      </c>
      <c r="O95" s="545">
        <f t="shared" si="17"/>
        <v>87031.292347665672</v>
      </c>
      <c r="P95" s="547">
        <v>0.1</v>
      </c>
      <c r="Q95" s="548"/>
    </row>
    <row r="96" spans="1:17" s="549" customFormat="1">
      <c r="A96" s="542" t="s">
        <v>86</v>
      </c>
      <c r="B96" s="542" t="s">
        <v>120</v>
      </c>
      <c r="C96" s="384">
        <v>122</v>
      </c>
      <c r="D96" s="543">
        <v>50</v>
      </c>
      <c r="E96" s="550">
        <f>+D96/P96*(CALC!$A$4)</f>
        <v>9166.6666666666679</v>
      </c>
      <c r="F96" s="545"/>
      <c r="G96" s="545">
        <f>3000*(1+CALC!$A$2)</f>
        <v>2325</v>
      </c>
      <c r="H96" s="545">
        <f>2000*(1+CALC!$A$2)</f>
        <v>1550</v>
      </c>
      <c r="I96" s="545"/>
      <c r="J96" s="545"/>
      <c r="K96" s="545">
        <v>468</v>
      </c>
      <c r="L96" s="545"/>
      <c r="M96" s="545">
        <f t="shared" si="16"/>
        <v>13509.666666666668</v>
      </c>
      <c r="N96" s="546">
        <f>M96/CALC!$A$8*CALC!$A$6</f>
        <v>438.86700974988798</v>
      </c>
      <c r="O96" s="545">
        <f t="shared" si="17"/>
        <v>13948.533676416555</v>
      </c>
      <c r="P96" s="547">
        <v>0.12</v>
      </c>
      <c r="Q96" s="548"/>
    </row>
    <row r="97" spans="1:20" s="549" customFormat="1">
      <c r="A97" s="542" t="s">
        <v>86</v>
      </c>
      <c r="B97" s="542" t="s">
        <v>164</v>
      </c>
      <c r="C97" s="384">
        <v>264</v>
      </c>
      <c r="D97" s="543">
        <v>100</v>
      </c>
      <c r="E97" s="550">
        <f>+D97/P97*(CALC!$A$4)</f>
        <v>6111.1111111111113</v>
      </c>
      <c r="F97" s="545"/>
      <c r="G97" s="545">
        <f>800*(1+CALC!$A$2)</f>
        <v>620</v>
      </c>
      <c r="H97" s="545">
        <f>2000*(1+CALC!$A$2)</f>
        <v>1550</v>
      </c>
      <c r="I97" s="545"/>
      <c r="J97" s="545"/>
      <c r="K97" s="545">
        <v>0</v>
      </c>
      <c r="L97" s="545"/>
      <c r="M97" s="545">
        <f t="shared" si="16"/>
        <v>8281.1111111111113</v>
      </c>
      <c r="N97" s="546">
        <f>M97/CALC!$A$8*CALC!$A$6</f>
        <v>269.015258511676</v>
      </c>
      <c r="O97" s="545">
        <f t="shared" si="17"/>
        <v>8550.126369622787</v>
      </c>
      <c r="P97" s="547">
        <v>0.36</v>
      </c>
      <c r="Q97" s="548"/>
    </row>
    <row r="98" spans="1:20" s="549" customFormat="1">
      <c r="A98" s="542" t="s">
        <v>86</v>
      </c>
      <c r="B98" s="542" t="s">
        <v>165</v>
      </c>
      <c r="C98" s="384">
        <v>265</v>
      </c>
      <c r="D98" s="543">
        <v>100</v>
      </c>
      <c r="E98" s="550">
        <f>+D98/P98*(CALC!$A$4)</f>
        <v>6111.1111111111113</v>
      </c>
      <c r="F98" s="545"/>
      <c r="G98" s="545">
        <f>800*(1+CALC!$A$2)</f>
        <v>620</v>
      </c>
      <c r="H98" s="545">
        <f>2000*(1+CALC!$A$2)</f>
        <v>1550</v>
      </c>
      <c r="I98" s="545"/>
      <c r="J98" s="545"/>
      <c r="K98" s="545">
        <v>0</v>
      </c>
      <c r="L98" s="545"/>
      <c r="M98" s="545">
        <f t="shared" si="16"/>
        <v>8281.1111111111113</v>
      </c>
      <c r="N98" s="546">
        <f>M98/CALC!$A$8*CALC!$A$6</f>
        <v>269.015258511676</v>
      </c>
      <c r="O98" s="545">
        <f t="shared" si="17"/>
        <v>8550.126369622787</v>
      </c>
      <c r="P98" s="547">
        <v>0.36</v>
      </c>
      <c r="Q98" s="548"/>
    </row>
    <row r="99" spans="1:20" s="549" customFormat="1">
      <c r="A99" s="542" t="s">
        <v>86</v>
      </c>
      <c r="B99" s="542" t="s">
        <v>166</v>
      </c>
      <c r="C99" s="384">
        <v>266</v>
      </c>
      <c r="D99" s="543">
        <v>100</v>
      </c>
      <c r="E99" s="550">
        <f>+D99/P99*(CALC!$A$4)</f>
        <v>6111.1111111111113</v>
      </c>
      <c r="F99" s="545"/>
      <c r="G99" s="545">
        <f>800*(1+CALC!$A$2)</f>
        <v>620</v>
      </c>
      <c r="H99" s="545">
        <f>2000*(1+CALC!$A$2)</f>
        <v>1550</v>
      </c>
      <c r="I99" s="545"/>
      <c r="J99" s="545"/>
      <c r="K99" s="545">
        <v>0</v>
      </c>
      <c r="L99" s="545"/>
      <c r="M99" s="545">
        <f t="shared" si="16"/>
        <v>8281.1111111111113</v>
      </c>
      <c r="N99" s="546">
        <f>M99/CALC!$A$8*CALC!$A$6</f>
        <v>269.015258511676</v>
      </c>
      <c r="O99" s="545">
        <f t="shared" si="17"/>
        <v>8550.126369622787</v>
      </c>
      <c r="P99" s="547">
        <v>0.36</v>
      </c>
      <c r="Q99" s="548"/>
    </row>
    <row r="100" spans="1:20" s="549" customFormat="1">
      <c r="A100" s="542" t="s">
        <v>86</v>
      </c>
      <c r="B100" s="542" t="s">
        <v>167</v>
      </c>
      <c r="C100" s="384">
        <v>267</v>
      </c>
      <c r="D100" s="543">
        <v>100</v>
      </c>
      <c r="E100" s="550">
        <f>+D100/P100*(CALC!$A$4)</f>
        <v>6111.1111111111113</v>
      </c>
      <c r="F100" s="545"/>
      <c r="G100" s="545">
        <f>800*(1+CALC!$A$2)</f>
        <v>620</v>
      </c>
      <c r="H100" s="545">
        <f>2000*(1+CALC!$A$2)</f>
        <v>1550</v>
      </c>
      <c r="I100" s="545"/>
      <c r="J100" s="545"/>
      <c r="K100" s="545">
        <v>0</v>
      </c>
      <c r="L100" s="545"/>
      <c r="M100" s="545">
        <f t="shared" si="16"/>
        <v>8281.1111111111113</v>
      </c>
      <c r="N100" s="546">
        <f>M100/CALC!$A$8*CALC!$A$6</f>
        <v>269.015258511676</v>
      </c>
      <c r="O100" s="545">
        <f t="shared" si="17"/>
        <v>8550.126369622787</v>
      </c>
      <c r="P100" s="547">
        <v>0.36</v>
      </c>
      <c r="Q100" s="548"/>
    </row>
    <row r="101" spans="1:20" s="18" customFormat="1">
      <c r="A101" s="35"/>
      <c r="B101" s="4" t="s">
        <v>14</v>
      </c>
      <c r="C101" s="26"/>
      <c r="D101" s="16">
        <f>SUM(D86:D100)</f>
        <v>775</v>
      </c>
      <c r="E101" s="32">
        <f t="shared" ref="E101:M101" si="18">SUM(E86:E100)</f>
        <v>101138.88888888889</v>
      </c>
      <c r="F101" s="14">
        <f t="shared" si="18"/>
        <v>6000</v>
      </c>
      <c r="G101" s="14">
        <f t="shared" si="18"/>
        <v>19646.25</v>
      </c>
      <c r="H101" s="14">
        <f t="shared" si="18"/>
        <v>67037.5</v>
      </c>
      <c r="I101" s="14">
        <f t="shared" si="18"/>
        <v>0</v>
      </c>
      <c r="J101" s="14"/>
      <c r="K101" s="14">
        <f t="shared" si="18"/>
        <v>5148</v>
      </c>
      <c r="L101" s="14">
        <f t="shared" si="18"/>
        <v>0</v>
      </c>
      <c r="M101" s="14">
        <f t="shared" si="18"/>
        <v>198970.63888888893</v>
      </c>
      <c r="N101" s="14">
        <f>M101/CALC!$A$8*CALC!$A$6</f>
        <v>6463.6420329042003</v>
      </c>
      <c r="O101" s="14">
        <f t="shared" si="17"/>
        <v>205434.28092179314</v>
      </c>
      <c r="P101" s="33"/>
      <c r="Q101" s="135">
        <f>(+O101/D101)*(1+CALC!$A$3)</f>
        <v>265.07649151199115</v>
      </c>
    </row>
    <row r="102" spans="1:20">
      <c r="Q102" s="21"/>
    </row>
    <row r="103" spans="1:20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0.8" thickBot="1">
      <c r="Q105" s="21"/>
    </row>
    <row r="106" spans="1:20" ht="10.8" thickBot="1">
      <c r="A106" s="330" t="s">
        <v>10</v>
      </c>
      <c r="B106" s="331" t="s">
        <v>151</v>
      </c>
      <c r="D106" s="568" t="s">
        <v>17</v>
      </c>
      <c r="E106" s="569"/>
      <c r="F106" s="570"/>
      <c r="Q106" s="21"/>
    </row>
    <row r="107" spans="1:20">
      <c r="Q107" s="21"/>
    </row>
    <row r="108" spans="1:20" s="549" customFormat="1">
      <c r="A108" s="542" t="s">
        <v>33</v>
      </c>
      <c r="B108" s="542" t="s">
        <v>100</v>
      </c>
      <c r="C108" s="384">
        <v>150</v>
      </c>
      <c r="D108" s="543">
        <v>50</v>
      </c>
      <c r="E108" s="550">
        <f>+D108/P108*(CALC!$A$4)</f>
        <v>3666.666666666667</v>
      </c>
      <c r="F108" s="545">
        <v>3000</v>
      </c>
      <c r="G108" s="545">
        <f>3000*(1+CALC!$A$2)</f>
        <v>2325</v>
      </c>
      <c r="H108" s="545">
        <f>5000*(1+CALC!$A$2)</f>
        <v>3875</v>
      </c>
      <c r="I108" s="545"/>
      <c r="J108" s="545"/>
      <c r="K108" s="545">
        <v>390</v>
      </c>
      <c r="L108" s="545"/>
      <c r="M108" s="545">
        <f>SUM(E108:L108)</f>
        <v>13256.666666666668</v>
      </c>
      <c r="N108" s="546">
        <f>M108/CALC!$A$8*CALC!$A$6</f>
        <v>430.64820197273667</v>
      </c>
      <c r="O108" s="545">
        <f>+M108+N108</f>
        <v>13687.314868639405</v>
      </c>
      <c r="P108" s="547">
        <v>0.3</v>
      </c>
      <c r="Q108" s="548"/>
      <c r="R108" s="563"/>
      <c r="S108" s="563"/>
      <c r="T108" s="563"/>
    </row>
    <row r="109" spans="1:20" s="549" customFormat="1">
      <c r="A109" s="542" t="s">
        <v>31</v>
      </c>
      <c r="B109" s="542" t="s">
        <v>121</v>
      </c>
      <c r="C109" s="384">
        <v>77</v>
      </c>
      <c r="D109" s="543">
        <v>100</v>
      </c>
      <c r="E109" s="550">
        <f>+D109/P109*(CALC!$A$4)</f>
        <v>11000</v>
      </c>
      <c r="F109" s="545">
        <v>3000</v>
      </c>
      <c r="G109" s="545">
        <f>756*(1+CALC!$A$2)</f>
        <v>585.9</v>
      </c>
      <c r="H109" s="545">
        <f>3100*(1+CALC!$A$2)</f>
        <v>2402.5</v>
      </c>
      <c r="I109" s="545"/>
      <c r="J109" s="545"/>
      <c r="K109" s="545">
        <v>390</v>
      </c>
      <c r="L109" s="545"/>
      <c r="M109" s="545">
        <f>SUM(E109:L109)</f>
        <v>17378.400000000001</v>
      </c>
      <c r="N109" s="546">
        <f>M109/CALC!$A$8*CALC!$A$6</f>
        <v>564.54438369346292</v>
      </c>
      <c r="O109" s="545">
        <f>+M109+N109</f>
        <v>17942.944383693466</v>
      </c>
      <c r="P109" s="547">
        <v>0.2</v>
      </c>
      <c r="Q109" s="548"/>
    </row>
    <row r="110" spans="1:20" s="549" customFormat="1">
      <c r="A110" s="542" t="s">
        <v>92</v>
      </c>
      <c r="B110" s="542" t="s">
        <v>122</v>
      </c>
      <c r="C110" s="384">
        <v>81</v>
      </c>
      <c r="D110" s="543">
        <v>110</v>
      </c>
      <c r="E110" s="550">
        <f>+D110/P110*(CALC!$A$4)</f>
        <v>15125</v>
      </c>
      <c r="F110" s="545">
        <v>3000</v>
      </c>
      <c r="G110" s="545">
        <f>756*(1+CALC!$A$2)</f>
        <v>585.9</v>
      </c>
      <c r="H110" s="545">
        <f>3100*(1+CALC!$A$2)</f>
        <v>2402.5</v>
      </c>
      <c r="I110" s="545"/>
      <c r="J110" s="545"/>
      <c r="K110" s="545">
        <v>390</v>
      </c>
      <c r="L110" s="545"/>
      <c r="M110" s="545">
        <f>SUM(E110:L110)</f>
        <v>21503.4</v>
      </c>
      <c r="N110" s="546">
        <f>M110/CALC!$A$8*CALC!$A$6</f>
        <v>698.54668440788623</v>
      </c>
      <c r="O110" s="545">
        <f>+M110+N110</f>
        <v>22201.946684407889</v>
      </c>
      <c r="P110" s="547">
        <v>0.16</v>
      </c>
      <c r="Q110" s="548"/>
    </row>
    <row r="111" spans="1:20" s="18" customFormat="1">
      <c r="A111" s="35"/>
      <c r="B111" s="4" t="s">
        <v>14</v>
      </c>
      <c r="C111" s="26"/>
      <c r="D111" s="16">
        <f>SUM(D108:D110)</f>
        <v>260</v>
      </c>
      <c r="E111" s="32">
        <f>SUM(E108:E110)</f>
        <v>29791.666666666668</v>
      </c>
      <c r="F111" s="32">
        <f t="shared" ref="F111:O111" si="20">SUM(F108:F110)</f>
        <v>9000</v>
      </c>
      <c r="G111" s="32">
        <f t="shared" si="20"/>
        <v>3496.8</v>
      </c>
      <c r="H111" s="32">
        <f t="shared" si="20"/>
        <v>8680</v>
      </c>
      <c r="I111" s="32">
        <f t="shared" si="20"/>
        <v>0</v>
      </c>
      <c r="J111" s="32">
        <f t="shared" si="20"/>
        <v>0</v>
      </c>
      <c r="K111" s="32">
        <f t="shared" si="20"/>
        <v>1170</v>
      </c>
      <c r="L111" s="32">
        <f t="shared" si="20"/>
        <v>0</v>
      </c>
      <c r="M111" s="32">
        <f t="shared" si="20"/>
        <v>52138.466666666674</v>
      </c>
      <c r="N111" s="32">
        <f t="shared" si="20"/>
        <v>1693.7392700740859</v>
      </c>
      <c r="O111" s="32">
        <f t="shared" si="20"/>
        <v>53832.205936740764</v>
      </c>
      <c r="P111" s="33"/>
      <c r="Q111" s="135">
        <f>(+O111/D111)*(1+CALC!$A$3)</f>
        <v>207.04694591054141</v>
      </c>
    </row>
    <row r="112" spans="1:20" ht="10.8" thickBot="1">
      <c r="Q112" s="21"/>
    </row>
    <row r="113" spans="1:17" ht="10.8" thickBot="1">
      <c r="A113" s="330" t="s">
        <v>10</v>
      </c>
      <c r="B113" s="331" t="s">
        <v>152</v>
      </c>
      <c r="D113" s="568" t="s">
        <v>60</v>
      </c>
      <c r="E113" s="569"/>
      <c r="F113" s="570"/>
      <c r="Q113" s="21"/>
    </row>
    <row r="114" spans="1:17">
      <c r="Q114" s="21"/>
    </row>
    <row r="115" spans="1:17" s="549" customFormat="1">
      <c r="A115" s="542" t="s">
        <v>93</v>
      </c>
      <c r="B115" s="542" t="s">
        <v>172</v>
      </c>
      <c r="C115" s="384">
        <v>86</v>
      </c>
      <c r="D115" s="543"/>
      <c r="E115" s="550"/>
      <c r="F115" s="545"/>
      <c r="G115" s="545">
        <f>800*(1+CALC!$A$2)</f>
        <v>620</v>
      </c>
      <c r="H115" s="545">
        <f>1500*(1+CALC!$A$2)</f>
        <v>1162.5</v>
      </c>
      <c r="I115" s="545"/>
      <c r="J115" s="545"/>
      <c r="K115" s="545">
        <v>468</v>
      </c>
      <c r="L115" s="545"/>
      <c r="M115" s="545">
        <f t="shared" ref="M115:M120" si="21">SUM(E115:L115)</f>
        <v>2250.5</v>
      </c>
      <c r="N115" s="546">
        <f>M115/CALC!$A$8*CALC!$A$6</f>
        <v>73.108406729165992</v>
      </c>
      <c r="O115" s="562">
        <f t="shared" ref="O115:O120" si="22">+M115</f>
        <v>2250.5</v>
      </c>
      <c r="P115" s="547"/>
      <c r="Q115" s="548"/>
    </row>
    <row r="116" spans="1:17" s="549" customFormat="1">
      <c r="A116" s="542" t="s">
        <v>16</v>
      </c>
      <c r="B116" s="542" t="s">
        <v>173</v>
      </c>
      <c r="C116" s="384">
        <v>87</v>
      </c>
      <c r="D116" s="543"/>
      <c r="E116" s="550"/>
      <c r="F116" s="545"/>
      <c r="G116" s="545">
        <f>800*(1+CALC!$A$2)</f>
        <v>620</v>
      </c>
      <c r="H116" s="545">
        <f>1500*(1+CALC!$A$2)</f>
        <v>1162.5</v>
      </c>
      <c r="I116" s="545"/>
      <c r="J116" s="545"/>
      <c r="K116" s="545">
        <v>468</v>
      </c>
      <c r="L116" s="545"/>
      <c r="M116" s="545">
        <f t="shared" si="21"/>
        <v>2250.5</v>
      </c>
      <c r="N116" s="546">
        <f>M116/CALC!$A$8*CALC!$A$6</f>
        <v>73.108406729165992</v>
      </c>
      <c r="O116" s="562">
        <f t="shared" si="22"/>
        <v>2250.5</v>
      </c>
      <c r="P116" s="547"/>
      <c r="Q116" s="548"/>
    </row>
    <row r="117" spans="1:17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s="549" customFormat="1">
      <c r="A118" s="542" t="s">
        <v>94</v>
      </c>
      <c r="B118" s="542" t="s">
        <v>174</v>
      </c>
      <c r="C118" s="384">
        <v>89</v>
      </c>
      <c r="D118" s="543"/>
      <c r="E118" s="550"/>
      <c r="F118" s="545"/>
      <c r="G118" s="545">
        <f>800*(1+CALC!$A$2)</f>
        <v>620</v>
      </c>
      <c r="H118" s="545">
        <f>1500*(1+CALC!$A$2)</f>
        <v>1162.5</v>
      </c>
      <c r="I118" s="545"/>
      <c r="J118" s="545"/>
      <c r="K118" s="545">
        <v>468</v>
      </c>
      <c r="L118" s="545"/>
      <c r="M118" s="545">
        <f t="shared" si="21"/>
        <v>2250.5</v>
      </c>
      <c r="N118" s="546">
        <f>M118/CALC!$A$8*CALC!$A$6</f>
        <v>73.108406729165992</v>
      </c>
      <c r="O118" s="562">
        <f t="shared" si="22"/>
        <v>2250.5</v>
      </c>
      <c r="P118" s="547"/>
      <c r="Q118" s="548"/>
    </row>
    <row r="119" spans="1:17" s="549" customFormat="1">
      <c r="A119" s="542" t="s">
        <v>94</v>
      </c>
      <c r="B119" s="542" t="s">
        <v>175</v>
      </c>
      <c r="C119" s="384">
        <v>90</v>
      </c>
      <c r="D119" s="543"/>
      <c r="E119" s="550"/>
      <c r="F119" s="545"/>
      <c r="G119" s="545">
        <f>800*(1+CALC!$A$2)</f>
        <v>620</v>
      </c>
      <c r="H119" s="545">
        <f>1500*(1+CALC!$A$2)</f>
        <v>1162.5</v>
      </c>
      <c r="I119" s="545"/>
      <c r="J119" s="545"/>
      <c r="K119" s="545">
        <v>468</v>
      </c>
      <c r="L119" s="545"/>
      <c r="M119" s="545">
        <f t="shared" si="21"/>
        <v>2250.5</v>
      </c>
      <c r="N119" s="546">
        <f>M119/CALC!$A$8*CALC!$A$6</f>
        <v>73.108406729165992</v>
      </c>
      <c r="O119" s="562">
        <f t="shared" si="22"/>
        <v>2250.5</v>
      </c>
      <c r="P119" s="547"/>
      <c r="Q119" s="548"/>
    </row>
    <row r="120" spans="1:17" s="549" customFormat="1">
      <c r="A120" s="542" t="s">
        <v>94</v>
      </c>
      <c r="B120" s="542" t="s">
        <v>176</v>
      </c>
      <c r="C120" s="384">
        <v>91</v>
      </c>
      <c r="D120" s="543"/>
      <c r="E120" s="550"/>
      <c r="F120" s="545"/>
      <c r="G120" s="545">
        <f>800*(1+CALC!$A$2)</f>
        <v>620</v>
      </c>
      <c r="H120" s="545">
        <f>1500*(1+CALC!$A$2)</f>
        <v>1162.5</v>
      </c>
      <c r="I120" s="545"/>
      <c r="J120" s="545"/>
      <c r="K120" s="545">
        <v>468</v>
      </c>
      <c r="L120" s="545"/>
      <c r="M120" s="545">
        <f t="shared" si="21"/>
        <v>2250.5</v>
      </c>
      <c r="N120" s="546">
        <f>M120/CALC!$A$8*CALC!$A$6</f>
        <v>73.108406729165992</v>
      </c>
      <c r="O120" s="562">
        <f t="shared" si="22"/>
        <v>2250.5</v>
      </c>
      <c r="P120" s="547"/>
      <c r="Q120" s="548"/>
    </row>
    <row r="121" spans="1:17" s="18" customFormat="1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3100</v>
      </c>
      <c r="H121" s="14">
        <f t="shared" si="23"/>
        <v>5812.5</v>
      </c>
      <c r="I121" s="14">
        <f t="shared" si="23"/>
        <v>0</v>
      </c>
      <c r="J121" s="14"/>
      <c r="K121" s="14">
        <f t="shared" si="23"/>
        <v>2340</v>
      </c>
      <c r="L121" s="14">
        <f>SUM(L115:L120)</f>
        <v>0</v>
      </c>
      <c r="M121" s="14">
        <f>SUM(M115:M120)</f>
        <v>11252.5</v>
      </c>
      <c r="N121" s="14">
        <f>M121/CALC!$A$8*CALC!$A$6</f>
        <v>365.54203364582992</v>
      </c>
      <c r="O121" s="14">
        <f>+M121+N121</f>
        <v>11618.04203364583</v>
      </c>
      <c r="P121" s="33"/>
      <c r="Q121" s="36"/>
    </row>
    <row r="122" spans="1:17" s="18" customFormat="1" ht="10.8" thickBot="1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0.8" thickBot="1">
      <c r="A123" s="42" t="s">
        <v>61</v>
      </c>
      <c r="B123" s="73" t="s">
        <v>14</v>
      </c>
      <c r="C123" s="74"/>
      <c r="D123" s="75">
        <f>+D16+D20+D21+D27+D28+D30+D35+D40+D46+D47+D55+D61+D67+D73+D81+D101+D111</f>
        <v>309735</v>
      </c>
      <c r="E123" s="283">
        <f>+E16+E20+E21+E27+E28+E30+E35+E40+E46+E47+E55+E61+E67+E73+E81+E101+E111</f>
        <v>3578495.8235109225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309178.30625000002</v>
      </c>
      <c r="H123" s="283">
        <f t="shared" si="24"/>
        <v>3099530</v>
      </c>
      <c r="I123" s="283">
        <f>+I16+I20+I21+I27+I28+I30+I35+I40+I46+I47+I55+I61+I67+I73+I81+I101+I111+I121</f>
        <v>1615588.3449999997</v>
      </c>
      <c r="J123" s="283">
        <f t="shared" si="24"/>
        <v>0</v>
      </c>
      <c r="K123" s="283">
        <f t="shared" si="24"/>
        <v>192858</v>
      </c>
      <c r="L123" s="283">
        <f t="shared" si="24"/>
        <v>0</v>
      </c>
      <c r="M123" s="283">
        <f t="shared" si="24"/>
        <v>8882650.4747609217</v>
      </c>
      <c r="N123" s="283">
        <f t="shared" si="24"/>
        <v>288556.50910546142</v>
      </c>
      <c r="O123" s="283">
        <f t="shared" si="24"/>
        <v>9171206.9838663843</v>
      </c>
      <c r="P123" s="21"/>
      <c r="Q123" s="21"/>
    </row>
    <row r="124" spans="1:17" s="18" customFormat="1" ht="10.8" thickBot="1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0.8" thickBot="1">
      <c r="A125" s="330" t="s">
        <v>10</v>
      </c>
      <c r="B125" s="331" t="s">
        <v>153</v>
      </c>
      <c r="D125" s="568" t="s">
        <v>16</v>
      </c>
      <c r="E125" s="569"/>
      <c r="F125" s="570"/>
      <c r="Q125" s="21"/>
    </row>
    <row r="126" spans="1:17">
      <c r="Q126" s="21"/>
    </row>
    <row r="127" spans="1:17" s="549" customFormat="1">
      <c r="A127" s="542" t="s">
        <v>98</v>
      </c>
      <c r="B127" s="542" t="s">
        <v>124</v>
      </c>
      <c r="C127" s="384">
        <v>100</v>
      </c>
      <c r="D127" s="543">
        <v>100</v>
      </c>
      <c r="E127" s="550">
        <f>+D127/P127*(CALC!$A$4)</f>
        <v>733.33333333333337</v>
      </c>
      <c r="F127" s="545"/>
      <c r="G127" s="545">
        <f>800*(1+CALC!$A$2)</f>
        <v>620</v>
      </c>
      <c r="H127" s="545">
        <f>8000*(1+CALC!$A$2)</f>
        <v>6200</v>
      </c>
      <c r="I127" s="545">
        <v>0</v>
      </c>
      <c r="J127" s="545"/>
      <c r="K127" s="545">
        <v>468</v>
      </c>
      <c r="L127" s="545">
        <v>0</v>
      </c>
      <c r="M127" s="545">
        <f>SUM(E127:L127)</f>
        <v>8021.3333333333339</v>
      </c>
      <c r="N127" s="546">
        <f>M127/CALC!$A$8*CALC!$A$6</f>
        <v>260.57627187005119</v>
      </c>
      <c r="O127" s="545">
        <f>+M127+N127</f>
        <v>8281.9096052033856</v>
      </c>
      <c r="P127" s="547">
        <v>3</v>
      </c>
      <c r="Q127" s="548"/>
    </row>
    <row r="128" spans="1:17" s="18" customFormat="1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733.33333333333337</v>
      </c>
      <c r="F128" s="14">
        <f t="shared" si="25"/>
        <v>0</v>
      </c>
      <c r="G128" s="14">
        <f t="shared" si="25"/>
        <v>620</v>
      </c>
      <c r="H128" s="14">
        <f t="shared" si="25"/>
        <v>6200</v>
      </c>
      <c r="I128" s="14">
        <f t="shared" si="25"/>
        <v>0</v>
      </c>
      <c r="J128" s="14"/>
      <c r="K128" s="14">
        <f>SUM(K127:K127)</f>
        <v>468</v>
      </c>
      <c r="L128" s="14">
        <f>SUM(L127:L127)</f>
        <v>0</v>
      </c>
      <c r="M128" s="14">
        <f>SUM(M127:M127)</f>
        <v>8021.3333333333339</v>
      </c>
      <c r="N128" s="14">
        <f>M128/CALC!$A$8*CALC!$A$6</f>
        <v>260.57627187005119</v>
      </c>
      <c r="O128" s="14">
        <f>+M128+N128</f>
        <v>8281.9096052033856</v>
      </c>
      <c r="P128" s="33"/>
      <c r="Q128" s="135">
        <f>(+O128/D128)*(1+CALC!$A$3)</f>
        <v>82.819096052033856</v>
      </c>
    </row>
    <row r="129" spans="1:20" s="18" customFormat="1" ht="10.8" thickBot="1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20" s="18" customFormat="1" ht="10.8" thickBot="1">
      <c r="A130" s="42" t="s">
        <v>62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286728.62140358391</v>
      </c>
      <c r="F130" s="283">
        <f t="shared" si="26"/>
        <v>12000</v>
      </c>
      <c r="G130" s="283">
        <f t="shared" si="26"/>
        <v>20785.895250000001</v>
      </c>
      <c r="H130" s="283">
        <f t="shared" si="26"/>
        <v>156200</v>
      </c>
      <c r="I130" s="283">
        <f t="shared" si="26"/>
        <v>82090.94</v>
      </c>
      <c r="J130" s="283">
        <f t="shared" si="26"/>
        <v>0</v>
      </c>
      <c r="K130" s="283">
        <f t="shared" si="26"/>
        <v>15288</v>
      </c>
      <c r="L130" s="283">
        <f t="shared" si="26"/>
        <v>0</v>
      </c>
      <c r="M130" s="283">
        <f t="shared" si="26"/>
        <v>573093.45665358403</v>
      </c>
      <c r="N130" s="283">
        <f t="shared" si="26"/>
        <v>18617.173749324094</v>
      </c>
      <c r="O130" s="283">
        <f t="shared" si="26"/>
        <v>591710.63040290808</v>
      </c>
      <c r="P130" s="21"/>
      <c r="Q130" s="283">
        <f>+Q9+Q22+Q29+Q128</f>
        <v>88.678882469108913</v>
      </c>
    </row>
    <row r="131" spans="1:20" ht="10.8" thickBot="1">
      <c r="Q131" s="21"/>
    </row>
    <row r="132" spans="1:20" s="18" customFormat="1" ht="10.8" thickBot="1">
      <c r="A132" s="18" t="s">
        <v>21</v>
      </c>
      <c r="B132" s="73" t="s">
        <v>14</v>
      </c>
      <c r="C132" s="74"/>
      <c r="D132" s="75">
        <f t="shared" ref="D132:N132" si="27">+D123+D130</f>
        <v>377835</v>
      </c>
      <c r="E132" s="283">
        <f t="shared" si="27"/>
        <v>3865224.4449145063</v>
      </c>
      <c r="F132" s="283">
        <f t="shared" si="27"/>
        <v>99000</v>
      </c>
      <c r="G132" s="283">
        <f t="shared" si="27"/>
        <v>329964.20150000002</v>
      </c>
      <c r="H132" s="283">
        <f t="shared" si="27"/>
        <v>3255730</v>
      </c>
      <c r="I132" s="283">
        <f t="shared" si="27"/>
        <v>1697679.2849999997</v>
      </c>
      <c r="J132" s="283">
        <f t="shared" si="27"/>
        <v>0</v>
      </c>
      <c r="K132" s="283">
        <f t="shared" si="27"/>
        <v>208146</v>
      </c>
      <c r="L132" s="283">
        <f t="shared" si="27"/>
        <v>0</v>
      </c>
      <c r="M132" s="283">
        <f t="shared" si="27"/>
        <v>9455743.9314145055</v>
      </c>
      <c r="N132" s="283">
        <f t="shared" si="27"/>
        <v>307173.68285478553</v>
      </c>
      <c r="O132" s="283">
        <f>+M132+N132</f>
        <v>9762917.6142692901</v>
      </c>
      <c r="P132" s="21"/>
      <c r="Q132" s="21"/>
    </row>
    <row r="133" spans="1:20">
      <c r="Q133" s="21"/>
    </row>
    <row r="134" spans="1:20">
      <c r="D134" s="82"/>
      <c r="E134" s="535" t="s">
        <v>106</v>
      </c>
      <c r="F134" s="535"/>
      <c r="G134" s="535" t="s">
        <v>107</v>
      </c>
      <c r="H134" s="535" t="s">
        <v>108</v>
      </c>
      <c r="I134" s="535" t="s">
        <v>109</v>
      </c>
      <c r="J134" s="535" t="s">
        <v>112</v>
      </c>
      <c r="K134" s="535" t="s">
        <v>110</v>
      </c>
      <c r="L134" s="535" t="s">
        <v>1491</v>
      </c>
      <c r="M134" s="535"/>
      <c r="N134" s="535" t="s">
        <v>111</v>
      </c>
      <c r="O134" s="535" t="s">
        <v>1499</v>
      </c>
      <c r="P134" s="24"/>
      <c r="Q134" s="44"/>
      <c r="R134" s="11"/>
    </row>
    <row r="135" spans="1:20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20">
      <c r="A136" s="84" t="s">
        <v>1387</v>
      </c>
      <c r="B136" s="84"/>
      <c r="C136" s="86"/>
      <c r="D136" s="83">
        <f>+mayor!D43</f>
        <v>167832</v>
      </c>
      <c r="E136" s="536">
        <f>+mayor!E43</f>
        <v>450377.47978188196</v>
      </c>
      <c r="F136" s="536">
        <f>+mayor!F43</f>
        <v>21000</v>
      </c>
      <c r="G136" s="536">
        <f>+mayor!G43</f>
        <v>94872.5</v>
      </c>
      <c r="H136" s="536">
        <f>+mayor!H43</f>
        <v>342000</v>
      </c>
      <c r="I136" s="536">
        <f>+mayor!I43</f>
        <v>372694.55</v>
      </c>
      <c r="J136" s="536">
        <f>+mayor!J43</f>
        <v>0</v>
      </c>
      <c r="K136" s="536">
        <f>+mayor!K43</f>
        <v>6025</v>
      </c>
      <c r="L136" s="536">
        <f>+mayor!L43</f>
        <v>0</v>
      </c>
      <c r="M136" s="536">
        <f>SUM(E136:L136)</f>
        <v>1286969.529781882</v>
      </c>
      <c r="N136" s="536">
        <f>+mayor!N45</f>
        <v>41807.727985486483</v>
      </c>
      <c r="O136" s="536">
        <f>+M136+N136</f>
        <v>1328777.2577673683</v>
      </c>
      <c r="Q136" s="21"/>
    </row>
    <row r="137" spans="1:20">
      <c r="A137" s="84" t="s">
        <v>47</v>
      </c>
      <c r="B137" s="84"/>
      <c r="C137" s="86"/>
      <c r="D137" s="83">
        <f>+income!D18</f>
        <v>60000</v>
      </c>
      <c r="E137" s="537">
        <f>+income!E16</f>
        <v>217691.15442278865</v>
      </c>
      <c r="F137" s="537">
        <f>+income!F16</f>
        <v>3000</v>
      </c>
      <c r="G137" s="537">
        <f>+income!G16</f>
        <v>4248.55</v>
      </c>
      <c r="H137" s="537">
        <f>+income!H16</f>
        <v>35000</v>
      </c>
      <c r="I137" s="537">
        <f>+income!I16</f>
        <v>11166.61</v>
      </c>
      <c r="J137" s="537">
        <f>+income!J16</f>
        <v>0</v>
      </c>
      <c r="K137" s="537">
        <f>+income!K16</f>
        <v>960</v>
      </c>
      <c r="L137" s="537">
        <f>+income!L16</f>
        <v>0</v>
      </c>
      <c r="M137" s="536">
        <f t="shared" ref="M137:M143" si="28">SUM(E137:L137)</f>
        <v>272066.31442278862</v>
      </c>
      <c r="N137" s="537">
        <f>+income!N15</f>
        <v>8838.184746556939</v>
      </c>
      <c r="O137" s="536">
        <f t="shared" ref="O137:O143" si="29">+M137+N137</f>
        <v>280904.49916934554</v>
      </c>
      <c r="Q137" s="21"/>
    </row>
    <row r="138" spans="1:20">
      <c r="A138" s="84" t="s">
        <v>48</v>
      </c>
      <c r="B138" s="84"/>
      <c r="C138" s="86"/>
      <c r="D138" s="83">
        <f>+workshop!D22</f>
        <v>31300</v>
      </c>
      <c r="E138" s="537">
        <f>+workshop!E19</f>
        <v>110477.8004398816</v>
      </c>
      <c r="F138" s="537">
        <f>+workshop!F19</f>
        <v>12000</v>
      </c>
      <c r="G138" s="537">
        <f>+workshop!G19</f>
        <v>17050</v>
      </c>
      <c r="H138" s="537">
        <f>+workshop!H19</f>
        <v>145000</v>
      </c>
      <c r="I138" s="537">
        <f>+workshop!I19</f>
        <v>67795.950000000012</v>
      </c>
      <c r="J138" s="537">
        <f>+workshop!J19</f>
        <v>0</v>
      </c>
      <c r="K138" s="537">
        <f>+workshop!K19</f>
        <v>4080</v>
      </c>
      <c r="L138" s="537">
        <f>+workshop!L19</f>
        <v>0</v>
      </c>
      <c r="M138" s="536">
        <f t="shared" si="28"/>
        <v>356403.75043988164</v>
      </c>
      <c r="N138" s="537">
        <f>+workshop!N19</f>
        <v>11577.920616289284</v>
      </c>
      <c r="O138" s="536">
        <f t="shared" si="29"/>
        <v>367981.67105617095</v>
      </c>
      <c r="Q138" s="21"/>
    </row>
    <row r="139" spans="1:20">
      <c r="A139" s="84" t="s">
        <v>40</v>
      </c>
      <c r="B139" s="84"/>
      <c r="C139" s="86"/>
      <c r="D139" s="83">
        <f>+'COMMUNITY SERV'!D105</f>
        <v>740400</v>
      </c>
      <c r="E139" s="537">
        <f>+'COMMUNITY SERV'!E105</f>
        <v>4836488.9374906281</v>
      </c>
      <c r="F139" s="537">
        <f>+'COMMUNITY SERV'!F105</f>
        <v>87000</v>
      </c>
      <c r="G139" s="537">
        <f>+'COMMUNITY SERV'!G105</f>
        <v>243288.45624999999</v>
      </c>
      <c r="H139" s="537">
        <f>+'COMMUNITY SERV'!H105</f>
        <v>1272928.1499999999</v>
      </c>
      <c r="I139" s="537">
        <f>+'COMMUNITY SERV'!I105</f>
        <v>673774.54</v>
      </c>
      <c r="J139" s="537">
        <f>+'COMMUNITY SERV'!J105</f>
        <v>0</v>
      </c>
      <c r="K139" s="537">
        <f>+'COMMUNITY SERV'!K105</f>
        <v>194260</v>
      </c>
      <c r="L139" s="537">
        <f>+'COMMUNITY SERV'!L105</f>
        <v>0</v>
      </c>
      <c r="M139" s="536">
        <f t="shared" si="28"/>
        <v>7307740.0837406283</v>
      </c>
      <c r="N139" s="537">
        <f>+'COMMUNITY SERV'!N102</f>
        <v>233486.32709341135</v>
      </c>
      <c r="O139" s="536">
        <f t="shared" si="29"/>
        <v>7541226.4108340396</v>
      </c>
      <c r="Q139" s="21"/>
    </row>
    <row r="140" spans="1:20" hidden="1">
      <c r="A140" s="84" t="s">
        <v>236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20">
      <c r="A141" s="84" t="s">
        <v>20</v>
      </c>
      <c r="B141" s="84"/>
      <c r="C141" s="86"/>
      <c r="D141" s="83">
        <f>+EEM!D100</f>
        <v>703035</v>
      </c>
      <c r="E141" s="537">
        <f>+EEM!E100</f>
        <v>3438659.3502647835</v>
      </c>
      <c r="F141" s="537">
        <f>EEM!F97</f>
        <v>111000</v>
      </c>
      <c r="G141" s="537">
        <f>+EEM!G100</f>
        <v>159760.6545</v>
      </c>
      <c r="H141" s="537">
        <f>+EEM!H100</f>
        <v>1555075</v>
      </c>
      <c r="I141" s="537">
        <f>+EEM!I100</f>
        <v>1392746.53</v>
      </c>
      <c r="J141" s="537">
        <f>+EEM!J100</f>
        <v>0</v>
      </c>
      <c r="K141" s="537">
        <f>+EEM!K100</f>
        <v>115476</v>
      </c>
      <c r="L141" s="537">
        <f>+EEM!L100</f>
        <v>0</v>
      </c>
      <c r="M141" s="536">
        <f t="shared" si="28"/>
        <v>6772717.5347647844</v>
      </c>
      <c r="N141" s="537">
        <f>+EEM!N97</f>
        <v>220014.48042361176</v>
      </c>
      <c r="O141" s="536">
        <f t="shared" si="29"/>
        <v>6992732.015188396</v>
      </c>
      <c r="Q141" s="21"/>
      <c r="S141" s="2">
        <f>EEM!O97</f>
        <v>6992732.0151883969</v>
      </c>
      <c r="T141" s="28">
        <f>O141-S141</f>
        <v>0</v>
      </c>
    </row>
    <row r="142" spans="1:20">
      <c r="A142" s="84" t="s">
        <v>21</v>
      </c>
      <c r="B142" s="84"/>
      <c r="C142" s="86"/>
      <c r="D142" s="83">
        <f>+D150</f>
        <v>377835</v>
      </c>
      <c r="E142" s="537">
        <f>+E150</f>
        <v>3865224.4449145067</v>
      </c>
      <c r="F142" s="537">
        <f t="shared" ref="F142:L142" si="30">+F150</f>
        <v>99000</v>
      </c>
      <c r="G142" s="537">
        <f t="shared" si="30"/>
        <v>329964.20149999997</v>
      </c>
      <c r="H142" s="537">
        <f>H132</f>
        <v>3255730</v>
      </c>
      <c r="I142" s="537">
        <f t="shared" si="30"/>
        <v>1697679.2849999997</v>
      </c>
      <c r="J142" s="537">
        <f t="shared" si="30"/>
        <v>0</v>
      </c>
      <c r="K142" s="537">
        <f t="shared" si="30"/>
        <v>208146</v>
      </c>
      <c r="L142" s="537">
        <f t="shared" si="30"/>
        <v>0</v>
      </c>
      <c r="M142" s="536">
        <f t="shared" si="28"/>
        <v>9455743.9314145073</v>
      </c>
      <c r="N142" s="537">
        <f t="shared" ref="N142" si="31">+N132</f>
        <v>307173.68285478553</v>
      </c>
      <c r="O142" s="536">
        <f t="shared" si="29"/>
        <v>9762917.614269292</v>
      </c>
      <c r="Q142" s="21"/>
    </row>
    <row r="143" spans="1:20" ht="11.4">
      <c r="A143" s="84" t="s">
        <v>22</v>
      </c>
      <c r="B143" s="84"/>
      <c r="C143" s="86"/>
      <c r="D143" s="83">
        <f>+MDC!D93</f>
        <v>441600</v>
      </c>
      <c r="E143" s="537">
        <f>+MDC!E93</f>
        <v>3558427.3187727029</v>
      </c>
      <c r="F143" s="537">
        <f>+MDC!F93</f>
        <v>66000</v>
      </c>
      <c r="G143" s="537">
        <f>+MDC!G93</f>
        <v>101263.32125000002</v>
      </c>
      <c r="H143" s="537">
        <f>+MDC!H93</f>
        <v>957250</v>
      </c>
      <c r="I143" s="537">
        <f>+MDC!I93</f>
        <v>550311.77499999991</v>
      </c>
      <c r="J143" s="537">
        <f>+MDC!J93</f>
        <v>0</v>
      </c>
      <c r="K143" s="537">
        <f>+MDC!K93</f>
        <v>98160</v>
      </c>
      <c r="L143" s="537">
        <f>+MDC!L93</f>
        <v>0</v>
      </c>
      <c r="M143" s="536">
        <f t="shared" si="28"/>
        <v>5331412.4150227029</v>
      </c>
      <c r="N143" s="537">
        <f>+MDC!N87</f>
        <v>173193.09810193509</v>
      </c>
      <c r="O143" s="536">
        <f t="shared" si="29"/>
        <v>5504605.5131246382</v>
      </c>
      <c r="Q143" s="282"/>
    </row>
    <row r="144" spans="1:20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>
      <c r="A145" s="78" t="s">
        <v>23</v>
      </c>
      <c r="B145" s="78"/>
      <c r="C145" s="79"/>
      <c r="D145" s="80">
        <f>SUM(D136:D144)</f>
        <v>2522002</v>
      </c>
      <c r="E145" s="538">
        <f t="shared" ref="E145:L145" si="32">SUM(E136:E144)</f>
        <v>16477346.486087173</v>
      </c>
      <c r="F145" s="538">
        <f>SUM(F136:F144)</f>
        <v>399000</v>
      </c>
      <c r="G145" s="538">
        <f t="shared" si="32"/>
        <v>950447.68350000004</v>
      </c>
      <c r="H145" s="538">
        <f t="shared" si="32"/>
        <v>7562983.1500000004</v>
      </c>
      <c r="I145" s="538">
        <f t="shared" si="32"/>
        <v>4766169.24</v>
      </c>
      <c r="J145" s="538">
        <f t="shared" si="32"/>
        <v>0</v>
      </c>
      <c r="K145" s="538">
        <f t="shared" si="32"/>
        <v>627107</v>
      </c>
      <c r="L145" s="538">
        <f t="shared" si="32"/>
        <v>0</v>
      </c>
      <c r="M145" s="538">
        <f>SUM(M136:M144)</f>
        <v>30783053.559587173</v>
      </c>
      <c r="N145" s="538">
        <f>SUM(N136:N144)</f>
        <v>996091.42182207643</v>
      </c>
      <c r="O145" s="538">
        <f>SUM(O136:O144)</f>
        <v>31779144.981409252</v>
      </c>
      <c r="P145" s="45"/>
      <c r="Q145" s="34"/>
    </row>
    <row r="146" spans="1:22" s="15" customFormat="1">
      <c r="C146" s="29"/>
      <c r="D146" s="29"/>
      <c r="Q146" s="21"/>
    </row>
    <row r="147" spans="1:22" s="45" customFormat="1">
      <c r="C147" s="98"/>
      <c r="D147" s="98"/>
      <c r="M147" s="105">
        <f>12465019.09*1.06</f>
        <v>13212920.235400001</v>
      </c>
      <c r="O147" s="45">
        <f>+N145+M147</f>
        <v>14209011.657222077</v>
      </c>
      <c r="Q147" s="34"/>
      <c r="S147" s="45">
        <v>20913644.23</v>
      </c>
      <c r="T147" s="45">
        <f>S147*1.06</f>
        <v>22168462.8838</v>
      </c>
      <c r="U147" s="45">
        <f>SUM(O136:O142)</f>
        <v>26274539.468284614</v>
      </c>
      <c r="V147" s="45">
        <f>U147-T147</f>
        <v>4106076.5844846144</v>
      </c>
    </row>
    <row r="148" spans="1:22" ht="10.8" thickBot="1">
      <c r="M148" s="15">
        <f>+M147-M145</f>
        <v>-17570133.324187174</v>
      </c>
      <c r="O148" s="15">
        <f>BUDGET!B76</f>
        <v>31779144.981409252</v>
      </c>
      <c r="P148" s="15">
        <f>O148-O145</f>
        <v>0</v>
      </c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5504605.5131246382</v>
      </c>
      <c r="V148" s="28">
        <f>U148-T148</f>
        <v>1346460.9285246381</v>
      </c>
    </row>
    <row r="149" spans="1:22" ht="10.8" thickBot="1">
      <c r="E149" s="28"/>
      <c r="H149" s="64"/>
      <c r="M149" s="411">
        <f>+O155</f>
        <v>25184155.907000002</v>
      </c>
      <c r="N149" s="59"/>
      <c r="O149" s="15">
        <f>+M149+N145</f>
        <v>26180247.328822076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>
      <c r="D150" s="17">
        <f>+D9+D16+D23+D31+D36+D41+D48+D55+D61+D67+D73+D81+D101+D111+D121+D128</f>
        <v>377835</v>
      </c>
      <c r="E150" s="17">
        <f t="shared" ref="E150:L150" si="34">+E9+E16+E23+E31+E36+E41+E48+E55+E61+E67+E73+E81+E101+E111+E121+E128</f>
        <v>3865224.4449145067</v>
      </c>
      <c r="F150" s="17">
        <f>+F9+F16+F23+F31+F36+F41+F48+F55+F61+F67+F73+F81+F101+F111+F121+F128</f>
        <v>99000</v>
      </c>
      <c r="G150" s="407">
        <f>+G9+G16+G23+G31+G36+G41+G48+G55+G61+G67+G73+G81+G101+G111+G121+G128</f>
        <v>329964.20149999997</v>
      </c>
      <c r="H150" s="407">
        <f>+H9+H16+H23+H31+H36+H41+H48+H55+H61+H67+H73+H81+H101+H111+H121+H128</f>
        <v>3176230</v>
      </c>
      <c r="I150" s="407">
        <f>+I9+I16+I23+I31+I36+I41+I48+I55+I61+I67+I73+I81</f>
        <v>1697679.2849999997</v>
      </c>
      <c r="J150" s="17">
        <f>+J9+J16+J23+J31+J36+J41+J48+J55+J61+J67+J73+J81+J101+J111+J121+J128</f>
        <v>0</v>
      </c>
      <c r="K150" s="17">
        <f t="shared" si="34"/>
        <v>208146</v>
      </c>
      <c r="L150" s="17">
        <f t="shared" si="34"/>
        <v>0</v>
      </c>
      <c r="M150" s="15"/>
      <c r="O150" s="15"/>
      <c r="Q150" s="21"/>
    </row>
    <row r="151" spans="1:2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79500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-5598897.6525871716</v>
      </c>
      <c r="O151" s="15"/>
      <c r="Q151" s="21"/>
    </row>
    <row r="152" spans="1:22">
      <c r="I152" s="64">
        <f>-I55</f>
        <v>-538137.07499999995</v>
      </c>
      <c r="M152" s="15"/>
      <c r="O152" s="15">
        <v>23984910.34</v>
      </c>
      <c r="Q152" s="21"/>
    </row>
    <row r="153" spans="1:22">
      <c r="M153" s="15">
        <f>23297994.53*5%</f>
        <v>1164899.7265000001</v>
      </c>
      <c r="O153" s="15">
        <v>0.05</v>
      </c>
      <c r="Q153" s="21"/>
    </row>
    <row r="154" spans="1:22">
      <c r="M154" s="15"/>
      <c r="O154" s="15">
        <f>+O152*O153</f>
        <v>1199245.517</v>
      </c>
      <c r="Q154" s="21"/>
    </row>
    <row r="155" spans="1:22">
      <c r="I155" s="15"/>
      <c r="M155" s="15"/>
      <c r="O155" s="15">
        <f>SUM(O152:O154)</f>
        <v>25184155.907000002</v>
      </c>
      <c r="Q155" s="21"/>
    </row>
    <row r="156" spans="1:22">
      <c r="I156" s="15"/>
      <c r="M156" s="15">
        <f>+M145-M154</f>
        <v>30783053.559587173</v>
      </c>
      <c r="O156" s="15">
        <v>303610</v>
      </c>
      <c r="Q156" s="21"/>
    </row>
    <row r="157" spans="1:22">
      <c r="I157" s="15"/>
      <c r="M157" s="15"/>
      <c r="O157" s="15">
        <v>0.05</v>
      </c>
      <c r="Q157" s="21"/>
    </row>
    <row r="158" spans="1:22">
      <c r="I158" s="15"/>
      <c r="O158" s="15">
        <f>+O156*O157</f>
        <v>15180.5</v>
      </c>
      <c r="Q158" s="21"/>
    </row>
    <row r="159" spans="1:22">
      <c r="E159" s="15"/>
      <c r="I159" s="15"/>
      <c r="O159" s="15">
        <f>SUM(O156:O158)</f>
        <v>318790.55</v>
      </c>
      <c r="Q159" s="21"/>
    </row>
    <row r="160" spans="1:22">
      <c r="E160" s="15"/>
      <c r="Q160" s="21"/>
    </row>
    <row r="161" spans="5:17">
      <c r="E161" s="15"/>
      <c r="Q161" s="21"/>
    </row>
    <row r="162" spans="5:17">
      <c r="Q162" s="21"/>
    </row>
    <row r="163" spans="5:17">
      <c r="Q163" s="21"/>
    </row>
    <row r="164" spans="5:17">
      <c r="Q164" s="21"/>
    </row>
    <row r="165" spans="5:17">
      <c r="H165" s="2">
        <v>1560656</v>
      </c>
      <c r="Q165" s="21"/>
    </row>
    <row r="166" spans="5:17">
      <c r="H166" s="2">
        <f>+H165*4.5%</f>
        <v>70229.52</v>
      </c>
      <c r="Q166" s="21"/>
    </row>
    <row r="167" spans="5:17">
      <c r="Q167" s="21"/>
    </row>
    <row r="168" spans="5:17">
      <c r="Q168" s="21"/>
    </row>
    <row r="169" spans="5:17">
      <c r="Q169" s="21"/>
    </row>
    <row r="170" spans="5:17">
      <c r="Q170" s="21"/>
    </row>
    <row r="171" spans="5:17">
      <c r="Q171" s="21"/>
    </row>
    <row r="172" spans="5:17">
      <c r="Q172" s="21"/>
    </row>
    <row r="173" spans="5:17">
      <c r="Q173" s="21"/>
    </row>
    <row r="174" spans="5:17">
      <c r="Q174" s="21"/>
    </row>
    <row r="175" spans="5:17">
      <c r="Q175" s="21"/>
    </row>
    <row r="176" spans="5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</sheetData>
  <sortState ref="A87:U101">
    <sortCondition ref="C87:C101"/>
  </sortState>
  <customSheetViews>
    <customSheetView guid="{08F29437-BBE1-46C0-B84C-12B7ABEF1718}" showPageBreaks="1" printArea="1" hiddenRows="1" hiddenColumns="1" view="pageBreakPreview">
      <pane xSplit="3" ySplit="3" topLeftCell="D4" activePane="bottomRight" state="frozen"/>
      <selection pane="bottomRight" activeCell="A4" sqref="A4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1"/>
      <headerFooter alignWithMargins="0"/>
    </customSheetView>
    <customSheetView guid="{6C0BD6A7-6718-429D-82D9-D2FE0341EA2C}" showPageBreaks="1" printArea="1" hiddenRows="1" view="pageBreakPreview">
      <pane xSplit="3" ySplit="3" topLeftCell="D43" activePane="bottomRight" state="frozen"/>
      <selection pane="bottomRight" activeCell="B80" sqref="B80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  <customSheetView guid="{DF69299D-7752-4436-A45D-28F739CEE21B}" showPageBreaks="1" printArea="1" hiddenRows="1" hiddenColumns="1" view="pageBreakPreview">
      <pane xSplit="3" ySplit="3" topLeftCell="D4" activePane="bottomRight" state="frozen"/>
      <selection pane="bottomRight" activeCell="A4" sqref="A4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4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9" scale="74" orientation="landscape" r:id="rId5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7" sqref="N7"/>
    </sheetView>
  </sheetViews>
  <sheetFormatPr defaultColWidth="9.21875" defaultRowHeight="10.199999999999999"/>
  <cols>
    <col min="1" max="1" width="24.77734375" style="2" bestFit="1" customWidth="1"/>
    <col min="2" max="2" width="12.21875" style="2" customWidth="1"/>
    <col min="3" max="3" width="4.44140625" style="6" customWidth="1"/>
    <col min="4" max="4" width="9.21875" style="17" bestFit="1" customWidth="1"/>
    <col min="5" max="5" width="14" style="2" bestFit="1" customWidth="1"/>
    <col min="6" max="6" width="10.44140625" style="2" bestFit="1" customWidth="1"/>
    <col min="7" max="7" width="11.21875" style="2" bestFit="1" customWidth="1"/>
    <col min="8" max="8" width="13.21875" style="2" bestFit="1" customWidth="1"/>
    <col min="9" max="9" width="13.44140625" style="2" bestFit="1" customWidth="1"/>
    <col min="10" max="10" width="9" style="2" hidden="1" customWidth="1"/>
    <col min="11" max="12" width="11.21875" style="2" bestFit="1" customWidth="1"/>
    <col min="13" max="13" width="13.21875" style="2" bestFit="1" customWidth="1"/>
    <col min="14" max="14" width="12" style="2" bestFit="1" customWidth="1"/>
    <col min="15" max="15" width="14" style="2" bestFit="1" customWidth="1"/>
    <col min="16" max="16" width="6.21875" style="15" hidden="1" customWidth="1"/>
    <col min="17" max="17" width="8.77734375" style="29" bestFit="1" customWidth="1"/>
    <col min="18" max="16384" width="9.21875" style="2"/>
  </cols>
  <sheetData>
    <row r="1" spans="1:20">
      <c r="A1" s="18" t="s">
        <v>1510</v>
      </c>
      <c r="D1" s="17" t="s">
        <v>22</v>
      </c>
      <c r="O1" s="2" t="s">
        <v>1485</v>
      </c>
    </row>
    <row r="3" spans="1:20" s="152" customFormat="1" ht="19.2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177</v>
      </c>
      <c r="F3" s="352" t="s">
        <v>1501</v>
      </c>
      <c r="G3" s="352" t="s">
        <v>178</v>
      </c>
      <c r="H3" s="352" t="s">
        <v>179</v>
      </c>
      <c r="I3" s="352" t="s">
        <v>184</v>
      </c>
      <c r="J3" s="352" t="s">
        <v>180</v>
      </c>
      <c r="K3" s="352" t="s">
        <v>181</v>
      </c>
      <c r="L3" s="353" t="str">
        <f>+mayor!L3</f>
        <v>INTEREST</v>
      </c>
      <c r="M3" s="354" t="s">
        <v>12</v>
      </c>
      <c r="N3" s="352" t="s">
        <v>183</v>
      </c>
      <c r="O3" s="352" t="s">
        <v>182</v>
      </c>
      <c r="P3" s="355" t="s">
        <v>85</v>
      </c>
      <c r="Q3" s="356" t="s">
        <v>11</v>
      </c>
    </row>
    <row r="4" spans="1:20" s="10" customFormat="1" ht="10.8" thickBo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0.8" thickBot="1">
      <c r="A5" s="330" t="s">
        <v>10</v>
      </c>
      <c r="B5" s="331" t="s">
        <v>499</v>
      </c>
      <c r="D5" s="568" t="s">
        <v>672</v>
      </c>
      <c r="E5" s="569"/>
      <c r="F5" s="570"/>
      <c r="Q5" s="21"/>
      <c r="R5" s="11"/>
      <c r="S5" s="11"/>
      <c r="T5" s="11"/>
    </row>
    <row r="6" spans="1:20">
      <c r="Q6" s="21"/>
      <c r="R6" s="11"/>
      <c r="S6" s="11"/>
      <c r="T6" s="11"/>
    </row>
    <row r="7" spans="1:20" s="9" customFormat="1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65967.016491754126</v>
      </c>
      <c r="F7" s="37">
        <v>3000</v>
      </c>
      <c r="G7" s="37">
        <f>5482*(1+CALC!$A$2)</f>
        <v>4248.55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124569.40649175413</v>
      </c>
      <c r="N7" s="32">
        <f>M7/CALC!$A$8*CALC!$A$6</f>
        <v>4046.6877741879457</v>
      </c>
      <c r="O7" s="37">
        <f>+M7+N7</f>
        <v>128616.09426594207</v>
      </c>
      <c r="P7" s="48">
        <v>6.67</v>
      </c>
      <c r="Q7" s="49"/>
      <c r="R7" s="25"/>
      <c r="S7" s="25"/>
      <c r="T7" s="25"/>
    </row>
    <row r="8" spans="1:20" s="9" customFormat="1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98950.524737631189</v>
      </c>
      <c r="F8" s="37">
        <v>3000</v>
      </c>
      <c r="G8" s="37">
        <f>5482*(1+CALC!$A$2)</f>
        <v>4248.55</v>
      </c>
      <c r="H8" s="37">
        <v>35000</v>
      </c>
      <c r="I8" s="37">
        <v>11166.61</v>
      </c>
      <c r="J8" s="37"/>
      <c r="K8" s="37">
        <v>960</v>
      </c>
      <c r="L8" s="37"/>
      <c r="M8" s="37">
        <f t="shared" ref="M8:M14" si="0">SUM(E8:L8)</f>
        <v>153325.68473763118</v>
      </c>
      <c r="N8" s="32">
        <f>M8/CALC!$A$8*CALC!$A$6</f>
        <v>4980.8471547774361</v>
      </c>
      <c r="O8" s="37">
        <f t="shared" ref="O8:O14" si="1">+M8+N8</f>
        <v>158306.53189240862</v>
      </c>
      <c r="P8" s="48">
        <v>6.67</v>
      </c>
      <c r="Q8" s="49"/>
      <c r="R8" s="25"/>
      <c r="S8" s="25"/>
      <c r="T8" s="25"/>
    </row>
    <row r="9" spans="1:20" s="9" customFormat="1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98950.524737631189</v>
      </c>
      <c r="F9" s="37">
        <v>3000</v>
      </c>
      <c r="G9" s="37">
        <f>5482*(1+CALC!$A$2)</f>
        <v>4248.55</v>
      </c>
      <c r="H9" s="37">
        <v>35000</v>
      </c>
      <c r="I9" s="37">
        <v>15393.84</v>
      </c>
      <c r="J9" s="37"/>
      <c r="K9" s="37">
        <v>960</v>
      </c>
      <c r="L9" s="37"/>
      <c r="M9" s="37">
        <f t="shared" si="0"/>
        <v>157552.91473763119</v>
      </c>
      <c r="N9" s="32">
        <f>M9/CALC!$A$8*CALC!$A$6</f>
        <v>5118.17043857114</v>
      </c>
      <c r="O9" s="37">
        <f t="shared" si="1"/>
        <v>162671.08517620232</v>
      </c>
      <c r="P9" s="48">
        <v>6.67</v>
      </c>
      <c r="Q9" s="49"/>
      <c r="R9" s="25"/>
      <c r="S9" s="25"/>
      <c r="T9" s="25"/>
    </row>
    <row r="10" spans="1:20" s="9" customFormat="1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98950.524737631189</v>
      </c>
      <c r="F10" s="37">
        <v>3000</v>
      </c>
      <c r="G10" s="37">
        <f>5482*(1+CALC!$A$2)</f>
        <v>4248.55</v>
      </c>
      <c r="H10" s="37">
        <v>35000</v>
      </c>
      <c r="I10" s="567">
        <v>15393.84</v>
      </c>
      <c r="J10" s="37"/>
      <c r="K10" s="37">
        <v>960</v>
      </c>
      <c r="L10" s="37"/>
      <c r="M10" s="37">
        <f t="shared" si="0"/>
        <v>157552.91473763119</v>
      </c>
      <c r="N10" s="32">
        <f>M10/CALC!$A$8*CALC!$A$6</f>
        <v>5118.17043857114</v>
      </c>
      <c r="O10" s="37">
        <f t="shared" si="1"/>
        <v>162671.08517620232</v>
      </c>
      <c r="P10" s="48">
        <v>6.67</v>
      </c>
      <c r="Q10" s="49"/>
      <c r="R10" s="25"/>
      <c r="S10" s="25"/>
      <c r="T10" s="25"/>
    </row>
    <row r="11" spans="1:20" s="9" customFormat="1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98950.524737631189</v>
      </c>
      <c r="F11" s="37">
        <v>3000</v>
      </c>
      <c r="G11" s="37">
        <f>5482*(1+CALC!$A$2)</f>
        <v>4248.55</v>
      </c>
      <c r="H11" s="37">
        <v>35000</v>
      </c>
      <c r="I11" s="37">
        <v>15393.84</v>
      </c>
      <c r="J11" s="37"/>
      <c r="K11" s="37">
        <v>960</v>
      </c>
      <c r="L11" s="37"/>
      <c r="M11" s="37">
        <f t="shared" si="0"/>
        <v>157552.91473763119</v>
      </c>
      <c r="N11" s="32">
        <f>M11/CALC!$A$8*CALC!$A$6</f>
        <v>5118.17043857114</v>
      </c>
      <c r="O11" s="37">
        <f t="shared" si="1"/>
        <v>162671.08517620232</v>
      </c>
      <c r="P11" s="48">
        <v>6.67</v>
      </c>
      <c r="Q11" s="49"/>
      <c r="R11" s="25"/>
      <c r="S11" s="25"/>
      <c r="T11" s="25"/>
    </row>
    <row r="12" spans="1:20" s="9" customFormat="1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26386.806596701652</v>
      </c>
      <c r="F12" s="37">
        <v>3000</v>
      </c>
      <c r="G12" s="37">
        <f>5482*(1+CALC!$A$2)</f>
        <v>4248.55</v>
      </c>
      <c r="H12" s="37">
        <v>35000</v>
      </c>
      <c r="I12" s="37">
        <v>15393.84</v>
      </c>
      <c r="J12" s="37"/>
      <c r="K12" s="37">
        <v>960</v>
      </c>
      <c r="L12" s="37"/>
      <c r="M12" s="37">
        <f t="shared" si="0"/>
        <v>84989.196596701659</v>
      </c>
      <c r="N12" s="32">
        <f>M12/CALC!$A$8*CALC!$A$6</f>
        <v>2760.9085769281114</v>
      </c>
      <c r="O12" s="37">
        <f t="shared" si="1"/>
        <v>87750.105173629767</v>
      </c>
      <c r="P12" s="48">
        <v>6.67</v>
      </c>
      <c r="Q12" s="49"/>
      <c r="R12" s="25"/>
      <c r="S12" s="25"/>
      <c r="T12" s="25"/>
    </row>
    <row r="13" spans="1:20" s="9" customFormat="1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65967.016491754126</v>
      </c>
      <c r="F13" s="37">
        <v>3000</v>
      </c>
      <c r="G13" s="37">
        <f>5482*(1+CALC!$A$2)</f>
        <v>4248.55</v>
      </c>
      <c r="H13" s="37">
        <v>35000</v>
      </c>
      <c r="I13" s="37">
        <v>15393.84</v>
      </c>
      <c r="J13" s="37"/>
      <c r="K13" s="37">
        <v>960</v>
      </c>
      <c r="L13" s="37"/>
      <c r="M13" s="37">
        <f t="shared" si="0"/>
        <v>124569.40649175413</v>
      </c>
      <c r="N13" s="32">
        <f>M13/CALC!$A$8*CALC!$A$6</f>
        <v>4046.6877741879457</v>
      </c>
      <c r="O13" s="37">
        <f t="shared" si="1"/>
        <v>128616.09426594207</v>
      </c>
      <c r="P13" s="48">
        <v>6.67</v>
      </c>
      <c r="Q13" s="49"/>
      <c r="R13" s="25"/>
      <c r="S13" s="25"/>
      <c r="T13" s="25"/>
    </row>
    <row r="14" spans="1:20" s="9" customFormat="1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65967.016491754126</v>
      </c>
      <c r="F14" s="37">
        <v>3000</v>
      </c>
      <c r="G14" s="37">
        <f>5482*(1+CALC!$A$2)</f>
        <v>4248.55</v>
      </c>
      <c r="H14" s="37">
        <v>35000</v>
      </c>
      <c r="I14" s="567">
        <v>15393.84</v>
      </c>
      <c r="J14" s="37"/>
      <c r="K14" s="37">
        <v>960</v>
      </c>
      <c r="L14" s="37"/>
      <c r="M14" s="37">
        <f t="shared" si="0"/>
        <v>124569.40649175413</v>
      </c>
      <c r="N14" s="32">
        <f>M14/CALC!$A$8*CALC!$A$6</f>
        <v>4046.6877741879457</v>
      </c>
      <c r="O14" s="37">
        <f t="shared" si="1"/>
        <v>128616.09426594207</v>
      </c>
      <c r="P14" s="48">
        <v>6.67</v>
      </c>
      <c r="Q14" s="49"/>
      <c r="R14" s="25"/>
      <c r="S14" s="25"/>
      <c r="T14" s="25"/>
    </row>
    <row r="15" spans="1:20" s="9" customFormat="1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26386.806596701652</v>
      </c>
      <c r="F15" s="37">
        <v>3000</v>
      </c>
      <c r="G15" s="37">
        <f>5482*(1+CALC!$A$2)</f>
        <v>4248.55</v>
      </c>
      <c r="H15" s="37">
        <v>35000</v>
      </c>
      <c r="I15" s="37">
        <v>15393.84</v>
      </c>
      <c r="J15" s="37"/>
      <c r="K15" s="37">
        <v>960</v>
      </c>
      <c r="L15" s="37"/>
      <c r="M15" s="37">
        <f>SUM(E15:L15)</f>
        <v>84989.196596701659</v>
      </c>
      <c r="N15" s="32">
        <f>M15/CALC!$A$8*CALC!$A$6</f>
        <v>2760.9085769281114</v>
      </c>
      <c r="O15" s="37">
        <f>+M15+N15</f>
        <v>87750.105173629767</v>
      </c>
      <c r="P15" s="48">
        <v>6.67</v>
      </c>
      <c r="Q15" s="49"/>
      <c r="R15" s="25"/>
      <c r="S15" s="25"/>
      <c r="T15" s="25"/>
    </row>
    <row r="16" spans="1:20" s="9" customFormat="1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65967.016491754126</v>
      </c>
      <c r="F16" s="37">
        <v>3000</v>
      </c>
      <c r="G16" s="37">
        <f>5482*(1+CALC!$A$2)</f>
        <v>4248.55</v>
      </c>
      <c r="H16" s="37">
        <v>35000</v>
      </c>
      <c r="I16" s="37">
        <v>15393.84</v>
      </c>
      <c r="J16" s="37"/>
      <c r="K16" s="37">
        <v>960</v>
      </c>
      <c r="L16" s="37"/>
      <c r="M16" s="37">
        <f>SUM(E16:L16)</f>
        <v>124569.40649175413</v>
      </c>
      <c r="N16" s="32">
        <f>M16/CALC!$A$8*CALC!$A$6</f>
        <v>4046.6877741879457</v>
      </c>
      <c r="O16" s="37">
        <f>+M16+N16</f>
        <v>128616.09426594207</v>
      </c>
      <c r="P16" s="48">
        <v>6.67</v>
      </c>
      <c r="Q16" s="49"/>
    </row>
    <row r="17" spans="1:20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>
      <c r="A18" s="35"/>
      <c r="B18" s="4" t="s">
        <v>14</v>
      </c>
      <c r="C18" s="26"/>
      <c r="D18" s="16">
        <f>SUM(D7:D17)</f>
        <v>216000</v>
      </c>
      <c r="E18" s="14">
        <f>SUM(E7:E17)</f>
        <v>712443.77811094455</v>
      </c>
      <c r="F18" s="14">
        <f t="shared" ref="F18:K18" si="2">SUM(F7:F17)</f>
        <v>30000</v>
      </c>
      <c r="G18" s="14">
        <f t="shared" si="2"/>
        <v>42485.500000000007</v>
      </c>
      <c r="H18" s="14">
        <f t="shared" si="2"/>
        <v>350000</v>
      </c>
      <c r="I18" s="14">
        <f t="shared" si="2"/>
        <v>149711.16999999998</v>
      </c>
      <c r="J18" s="14">
        <f t="shared" si="2"/>
        <v>0</v>
      </c>
      <c r="K18" s="14">
        <f t="shared" si="2"/>
        <v>9600</v>
      </c>
      <c r="L18" s="14">
        <f>SUM(L7:L17)</f>
        <v>0</v>
      </c>
      <c r="M18" s="14">
        <f>SUM(M7:M17)</f>
        <v>1294240.4481109446</v>
      </c>
      <c r="N18" s="14">
        <f>M18/CALC!$A$8*CALC!$A$6</f>
        <v>42043.926721098862</v>
      </c>
      <c r="O18" s="14">
        <f>+M18+N18</f>
        <v>1336284.3748320434</v>
      </c>
      <c r="P18" s="33"/>
      <c r="Q18" s="135">
        <f>(+O18/D18)*(1+CALC!$A$3)</f>
        <v>6.1865017353335343</v>
      </c>
      <c r="R18" s="35"/>
      <c r="S18" s="35"/>
      <c r="T18" s="35"/>
    </row>
    <row r="19" spans="1:20" s="18" customFormat="1" ht="10.8" thickBot="1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0.8" thickBot="1">
      <c r="A20" s="330" t="s">
        <v>10</v>
      </c>
      <c r="B20" s="331" t="s">
        <v>500</v>
      </c>
      <c r="D20" s="568" t="s">
        <v>247</v>
      </c>
      <c r="E20" s="569"/>
      <c r="F20" s="570"/>
      <c r="Q20" s="21"/>
      <c r="R20" s="11"/>
      <c r="S20" s="11"/>
      <c r="T20" s="11"/>
    </row>
    <row r="21" spans="1:20">
      <c r="Q21" s="21"/>
      <c r="R21" s="11"/>
      <c r="S21" s="11"/>
      <c r="T21" s="11"/>
    </row>
    <row r="22" spans="1:20" s="9" customFormat="1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36303.630363036304</v>
      </c>
      <c r="F22" s="37">
        <v>3000</v>
      </c>
      <c r="G22" s="37">
        <f>5482*(1+CALC!$A$2)</f>
        <v>4248.55</v>
      </c>
      <c r="H22" s="37">
        <v>35000</v>
      </c>
      <c r="I22" s="567">
        <v>21727.63</v>
      </c>
      <c r="J22" s="37"/>
      <c r="K22" s="37">
        <v>1200</v>
      </c>
      <c r="L22" s="37"/>
      <c r="M22" s="37">
        <f>SUM(E22:L22)</f>
        <v>101479.81036303632</v>
      </c>
      <c r="N22" s="32">
        <f>M22/CALC!$A$8*CALC!$A$6</f>
        <v>3296.6128641721807</v>
      </c>
      <c r="O22" s="37">
        <f>+M22+N22</f>
        <v>104776.42322720849</v>
      </c>
      <c r="P22" s="48">
        <v>9.09</v>
      </c>
      <c r="Q22" s="51"/>
      <c r="R22" s="25"/>
      <c r="S22" s="25"/>
      <c r="T22" s="25"/>
    </row>
    <row r="23" spans="1:20" s="9" customFormat="1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36303.630363036304</v>
      </c>
      <c r="F23" s="37">
        <v>3000</v>
      </c>
      <c r="G23" s="37">
        <f>5482*(1+CALC!$A$2)</f>
        <v>4248.55</v>
      </c>
      <c r="H23" s="37">
        <v>35000</v>
      </c>
      <c r="I23" s="567">
        <v>21674.76</v>
      </c>
      <c r="J23" s="37"/>
      <c r="K23" s="37">
        <v>1200</v>
      </c>
      <c r="L23" s="37"/>
      <c r="M23" s="37">
        <f>SUM(E23:L23)</f>
        <v>101426.94036303631</v>
      </c>
      <c r="N23" s="32">
        <f>M23/CALC!$A$8*CALC!$A$6</f>
        <v>3294.8953607445997</v>
      </c>
      <c r="O23" s="37">
        <f>+M23+N23</f>
        <v>104721.83572378091</v>
      </c>
      <c r="P23" s="48">
        <v>9.09</v>
      </c>
      <c r="Q23" s="51"/>
      <c r="R23" s="25"/>
      <c r="S23" s="25"/>
      <c r="T23" s="25"/>
    </row>
    <row r="24" spans="1:20" s="9" customFormat="1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36303.630363036304</v>
      </c>
      <c r="F24" s="37">
        <v>3000</v>
      </c>
      <c r="G24" s="37">
        <f>5482*(1+CALC!$A$2)</f>
        <v>4248.55</v>
      </c>
      <c r="H24" s="37">
        <v>35000</v>
      </c>
      <c r="I24" s="37">
        <v>22699.42</v>
      </c>
      <c r="J24" s="37"/>
      <c r="K24" s="37">
        <v>1200</v>
      </c>
      <c r="L24" s="37"/>
      <c r="M24" s="37">
        <f>SUM(E24:L24)</f>
        <v>102451.60036303631</v>
      </c>
      <c r="N24" s="32">
        <f>M24/CALC!$A$8*CALC!$A$6</f>
        <v>3328.181857096125</v>
      </c>
      <c r="O24" s="37">
        <f>+M24+N24</f>
        <v>105779.78222013243</v>
      </c>
      <c r="P24" s="48">
        <v>9.09</v>
      </c>
      <c r="Q24" s="51"/>
      <c r="R24" s="25"/>
      <c r="S24" s="25"/>
      <c r="T24" s="25"/>
    </row>
    <row r="25" spans="1:20" s="18" customFormat="1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108910.89108910892</v>
      </c>
      <c r="F25" s="14">
        <f t="shared" si="3"/>
        <v>9000</v>
      </c>
      <c r="G25" s="14">
        <f t="shared" si="3"/>
        <v>12745.650000000001</v>
      </c>
      <c r="H25" s="14">
        <f t="shared" si="3"/>
        <v>105000</v>
      </c>
      <c r="I25" s="14">
        <f t="shared" si="3"/>
        <v>66101.81</v>
      </c>
      <c r="J25" s="14">
        <f t="shared" si="3"/>
        <v>0</v>
      </c>
      <c r="K25" s="14">
        <f t="shared" si="3"/>
        <v>3600</v>
      </c>
      <c r="L25" s="14">
        <f>SUM(L22:L24)</f>
        <v>0</v>
      </c>
      <c r="M25" s="14">
        <f t="shared" si="3"/>
        <v>305358.35108910897</v>
      </c>
      <c r="N25" s="14">
        <f>M25/CALC!$A$8*CALC!$A$6</f>
        <v>9919.6900820129067</v>
      </c>
      <c r="O25" s="14">
        <f>+M25+N25</f>
        <v>315278.04117112188</v>
      </c>
      <c r="P25" s="33"/>
      <c r="Q25" s="135">
        <f>(+O25/D25)*(1+CALC!$A$3)</f>
        <v>7.0061786926915977</v>
      </c>
      <c r="R25" s="35"/>
      <c r="S25" s="35"/>
      <c r="T25" s="35"/>
    </row>
    <row r="26" spans="1:20" ht="10.8" thickBot="1">
      <c r="Q26" s="151"/>
      <c r="R26" s="11"/>
      <c r="S26" s="11"/>
      <c r="T26" s="11"/>
    </row>
    <row r="27" spans="1:20" ht="10.8" thickBot="1">
      <c r="A27" s="330" t="s">
        <v>10</v>
      </c>
      <c r="B27" s="331" t="s">
        <v>501</v>
      </c>
      <c r="D27" s="568" t="s">
        <v>674</v>
      </c>
      <c r="E27" s="569"/>
      <c r="F27" s="570"/>
      <c r="Q27" s="21"/>
      <c r="R27" s="11"/>
      <c r="S27" s="11"/>
      <c r="T27" s="11"/>
    </row>
    <row r="28" spans="1:20" s="9" customFormat="1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165000</v>
      </c>
      <c r="F29" s="32">
        <v>3000</v>
      </c>
      <c r="G29" s="32">
        <f>6057.27*(1+CALC!$A$2)</f>
        <v>4694.3842500000001</v>
      </c>
      <c r="H29" s="32">
        <f>70000</f>
        <v>70000</v>
      </c>
      <c r="I29" s="32">
        <v>29322.53</v>
      </c>
      <c r="J29" s="32"/>
      <c r="K29" s="37">
        <v>2400</v>
      </c>
      <c r="L29" s="37"/>
      <c r="M29" s="32">
        <f>SUM(E29:L29)</f>
        <v>274416.91425000003</v>
      </c>
      <c r="N29" s="32">
        <f>M29/CALC!$A$8*CALC!$A$6</f>
        <v>8914.5449368370009</v>
      </c>
      <c r="O29" s="32">
        <f>+M29+N29</f>
        <v>283331.45918683702</v>
      </c>
      <c r="P29" s="50">
        <v>2</v>
      </c>
      <c r="Q29" s="51"/>
    </row>
    <row r="30" spans="1:20" s="18" customFormat="1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165000</v>
      </c>
      <c r="F30" s="14">
        <f t="shared" si="4"/>
        <v>3000</v>
      </c>
      <c r="G30" s="32">
        <f>6057.27*(1+CALC!$A$2)</f>
        <v>4694.3842500000001</v>
      </c>
      <c r="H30" s="32">
        <f>H29</f>
        <v>70000</v>
      </c>
      <c r="I30" s="14">
        <f t="shared" si="4"/>
        <v>29322.53</v>
      </c>
      <c r="J30" s="14">
        <f t="shared" si="4"/>
        <v>0</v>
      </c>
      <c r="K30" s="14">
        <f t="shared" si="4"/>
        <v>2400</v>
      </c>
      <c r="L30" s="14">
        <f>SUM(L29)</f>
        <v>0</v>
      </c>
      <c r="M30" s="14">
        <f>SUM(M28:M29)</f>
        <v>274416.91425000003</v>
      </c>
      <c r="N30" s="14">
        <f>M30/CALC!$A$8*CALC!$A$6</f>
        <v>8914.5449368370009</v>
      </c>
      <c r="O30" s="14">
        <f>+M30+N30</f>
        <v>283331.45918683702</v>
      </c>
      <c r="P30" s="33"/>
      <c r="Q30" s="135">
        <f>(+O30/D30)*(1+CALC!$A$3)</f>
        <v>18.888763945789133</v>
      </c>
      <c r="R30" s="35"/>
      <c r="S30" s="35"/>
      <c r="T30" s="35"/>
    </row>
    <row r="31" spans="1:20" ht="10.8" thickBot="1">
      <c r="Q31" s="21"/>
      <c r="R31" s="11"/>
      <c r="S31" s="11"/>
      <c r="T31" s="11"/>
    </row>
    <row r="32" spans="1:20" ht="10.8" thickBot="1">
      <c r="A32" s="330" t="s">
        <v>10</v>
      </c>
      <c r="B32" s="331" t="s">
        <v>502</v>
      </c>
      <c r="D32" s="568" t="s">
        <v>677</v>
      </c>
      <c r="E32" s="569"/>
      <c r="F32" s="570"/>
      <c r="Q32" s="21"/>
      <c r="R32" s="11"/>
      <c r="S32" s="11"/>
      <c r="T32" s="11"/>
    </row>
    <row r="33" spans="1:20">
      <c r="Q33" s="21"/>
      <c r="R33" s="11"/>
      <c r="S33" s="11"/>
      <c r="T33" s="11"/>
    </row>
    <row r="34" spans="1:20" s="9" customFormat="1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220000</v>
      </c>
      <c r="F34" s="37">
        <v>3000</v>
      </c>
      <c r="G34" s="32">
        <f>6057.27*(1+CALC!$A$2)</f>
        <v>4694.3842500000001</v>
      </c>
      <c r="H34" s="32">
        <f>95000</f>
        <v>95000</v>
      </c>
      <c r="I34" s="37">
        <v>53095.14</v>
      </c>
      <c r="J34" s="37"/>
      <c r="K34" s="37">
        <v>17160</v>
      </c>
      <c r="L34" s="37"/>
      <c r="M34" s="37">
        <f>SUM(E34:L34)</f>
        <v>392949.52425000002</v>
      </c>
      <c r="N34" s="32">
        <f>M34/CALC!$A$8*CALC!$A$6</f>
        <v>12765.124924639536</v>
      </c>
      <c r="O34" s="37">
        <f>+M34+N34</f>
        <v>405714.64917463955</v>
      </c>
      <c r="P34" s="48">
        <v>1.5</v>
      </c>
      <c r="Q34" s="51"/>
      <c r="R34" s="25"/>
      <c r="S34" s="25"/>
      <c r="T34" s="25"/>
    </row>
    <row r="35" spans="1:20" s="10" customFormat="1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220000</v>
      </c>
      <c r="F35" s="32">
        <f t="shared" si="5"/>
        <v>3000</v>
      </c>
      <c r="G35" s="32">
        <f t="shared" si="5"/>
        <v>4694.3842500000001</v>
      </c>
      <c r="H35" s="32">
        <f t="shared" si="5"/>
        <v>95000</v>
      </c>
      <c r="I35" s="32">
        <f t="shared" si="5"/>
        <v>53095.14</v>
      </c>
      <c r="J35" s="32">
        <f t="shared" si="5"/>
        <v>0</v>
      </c>
      <c r="K35" s="32">
        <f t="shared" si="5"/>
        <v>17160</v>
      </c>
      <c r="L35" s="32">
        <f>SUM(L34)</f>
        <v>0</v>
      </c>
      <c r="M35" s="32">
        <f>SUM(M34:M34)</f>
        <v>392949.52425000002</v>
      </c>
      <c r="N35" s="32">
        <f>M35/CALC!$A$8*CALC!$A$6</f>
        <v>12765.124924639536</v>
      </c>
      <c r="O35" s="32">
        <f>+M35+N35</f>
        <v>405714.64917463955</v>
      </c>
      <c r="P35" s="50"/>
      <c r="Q35" s="51">
        <f>(+O35/D35)*(1+CALC!$A$3)</f>
        <v>27.047643278309302</v>
      </c>
      <c r="R35" s="63"/>
      <c r="S35" s="63"/>
      <c r="T35" s="63"/>
    </row>
    <row r="36" spans="1:20" ht="10.8" thickBot="1">
      <c r="Q36" s="21"/>
      <c r="R36" s="11"/>
      <c r="S36" s="11"/>
      <c r="T36" s="11"/>
    </row>
    <row r="37" spans="1:20" ht="10.8" thickBot="1">
      <c r="A37" s="330" t="s">
        <v>10</v>
      </c>
      <c r="B37" s="331" t="s">
        <v>687</v>
      </c>
      <c r="D37" s="568" t="s">
        <v>678</v>
      </c>
      <c r="E37" s="569"/>
      <c r="F37" s="570"/>
      <c r="Q37" s="21"/>
      <c r="R37" s="11"/>
      <c r="S37" s="11"/>
      <c r="T37" s="11"/>
    </row>
    <row r="38" spans="1:20" s="9" customFormat="1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366666.66666666669</v>
      </c>
      <c r="F39" s="37">
        <v>3000</v>
      </c>
      <c r="G39" s="32">
        <f>6057.27*(1+CALC!$A$2)</f>
        <v>4694.3842500000001</v>
      </c>
      <c r="H39" s="32">
        <f>95000</f>
        <v>95000</v>
      </c>
      <c r="I39" s="37">
        <v>51520.06</v>
      </c>
      <c r="J39" s="37"/>
      <c r="K39" s="37">
        <v>17160</v>
      </c>
      <c r="L39" s="37"/>
      <c r="M39" s="37">
        <f>SUM(E39:L39)</f>
        <v>538041.11091666669</v>
      </c>
      <c r="N39" s="37">
        <f>M39/CALC!$A$8*CALC!$A$6</f>
        <v>17478.484058612747</v>
      </c>
      <c r="O39" s="37">
        <f>+M39+N39</f>
        <v>555519.59497527941</v>
      </c>
      <c r="P39" s="48">
        <v>1.5</v>
      </c>
      <c r="Q39" s="154"/>
    </row>
    <row r="40" spans="1:20" s="18" customFormat="1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366666.66666666669</v>
      </c>
      <c r="F40" s="14">
        <f t="shared" si="6"/>
        <v>3000</v>
      </c>
      <c r="G40" s="14">
        <f t="shared" si="6"/>
        <v>4694.3842500000001</v>
      </c>
      <c r="H40" s="14">
        <f t="shared" si="6"/>
        <v>95000</v>
      </c>
      <c r="I40" s="14">
        <f t="shared" si="6"/>
        <v>51520.06</v>
      </c>
      <c r="J40" s="14">
        <f t="shared" si="6"/>
        <v>0</v>
      </c>
      <c r="K40" s="14">
        <f t="shared" si="6"/>
        <v>17160</v>
      </c>
      <c r="L40" s="14">
        <f>SUM(L39)</f>
        <v>0</v>
      </c>
      <c r="M40" s="14">
        <f>SUM(M38:M39)</f>
        <v>538041.11091666669</v>
      </c>
      <c r="N40" s="14">
        <f>M40/CALC!$A$8*CALC!$A$6</f>
        <v>17478.484058612747</v>
      </c>
      <c r="O40" s="14">
        <f>+M40+N40</f>
        <v>555519.59497527941</v>
      </c>
      <c r="P40" s="33"/>
      <c r="Q40" s="135">
        <f>(+O40/D40)*(1+CALC!$A$3)</f>
        <v>22.220783799011176</v>
      </c>
      <c r="R40" s="35"/>
      <c r="S40" s="35"/>
      <c r="T40" s="35"/>
    </row>
    <row r="41" spans="1:20" ht="10.8" thickBot="1">
      <c r="Q41" s="21"/>
      <c r="R41" s="11"/>
      <c r="S41" s="11"/>
      <c r="T41" s="11"/>
    </row>
    <row r="42" spans="1:20" ht="10.8" thickBot="1">
      <c r="A42" s="330" t="s">
        <v>10</v>
      </c>
      <c r="B42" s="331" t="s">
        <v>503</v>
      </c>
      <c r="D42" s="568" t="s">
        <v>679</v>
      </c>
      <c r="E42" s="569"/>
      <c r="F42" s="570"/>
      <c r="Q42" s="21"/>
      <c r="R42" s="11"/>
      <c r="S42" s="11"/>
      <c r="T42" s="11"/>
    </row>
    <row r="43" spans="1:20" s="9" customFormat="1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513333.33333333331</v>
      </c>
      <c r="F44" s="32">
        <v>3000</v>
      </c>
      <c r="G44" s="32">
        <f>6057.27*(1+CALC!$A$2)</f>
        <v>4694.3842500000001</v>
      </c>
      <c r="H44" s="32">
        <f>95000</f>
        <v>95000</v>
      </c>
      <c r="I44" s="32">
        <v>47817.19</v>
      </c>
      <c r="J44" s="32"/>
      <c r="K44" s="32">
        <v>17160</v>
      </c>
      <c r="L44" s="37"/>
      <c r="M44" s="32">
        <f>SUM(E44:L44)</f>
        <v>681004.90758333332</v>
      </c>
      <c r="N44" s="32">
        <f>M44/CALC!$A$8*CALC!$A$6</f>
        <v>22122.721070055733</v>
      </c>
      <c r="O44" s="32">
        <f>+M44+N44</f>
        <v>703127.62865338905</v>
      </c>
      <c r="P44" s="50">
        <v>1.5</v>
      </c>
      <c r="Q44" s="51"/>
    </row>
    <row r="45" spans="1:20" s="18" customFormat="1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513333.33333333331</v>
      </c>
      <c r="F45" s="14">
        <f t="shared" si="7"/>
        <v>3000</v>
      </c>
      <c r="G45" s="14">
        <f t="shared" si="7"/>
        <v>4694.3842500000001</v>
      </c>
      <c r="H45" s="14">
        <f t="shared" si="7"/>
        <v>95000</v>
      </c>
      <c r="I45" s="14">
        <f t="shared" si="7"/>
        <v>47817.19</v>
      </c>
      <c r="J45" s="14">
        <f t="shared" si="7"/>
        <v>0</v>
      </c>
      <c r="K45" s="14">
        <f t="shared" si="7"/>
        <v>17160</v>
      </c>
      <c r="L45" s="14">
        <f>SUM(L44)</f>
        <v>0</v>
      </c>
      <c r="M45" s="14">
        <f>SUM(M43:M44)</f>
        <v>681004.90758333332</v>
      </c>
      <c r="N45" s="14">
        <f>M45/CALC!$A$8*CALC!$A$6</f>
        <v>22122.721070055733</v>
      </c>
      <c r="O45" s="14">
        <f>+M45+N45</f>
        <v>703127.62865338905</v>
      </c>
      <c r="P45" s="33"/>
      <c r="Q45" s="135">
        <f>(+O45/D45)*(1+CALC!$A$3)</f>
        <v>20.089360818668258</v>
      </c>
      <c r="R45" s="35"/>
      <c r="S45" s="35"/>
      <c r="T45" s="35"/>
    </row>
    <row r="46" spans="1:20">
      <c r="Q46" s="21"/>
      <c r="R46" s="11"/>
      <c r="S46" s="11"/>
      <c r="T46" s="11"/>
    </row>
    <row r="47" spans="1:20" ht="10.8" thickBot="1">
      <c r="Q47" s="21"/>
      <c r="R47" s="11"/>
      <c r="S47" s="11"/>
      <c r="T47" s="11"/>
    </row>
    <row r="48" spans="1:20" ht="10.8" thickBot="1">
      <c r="A48" s="330" t="s">
        <v>10</v>
      </c>
      <c r="B48" s="331" t="s">
        <v>154</v>
      </c>
      <c r="D48" s="568" t="s">
        <v>158</v>
      </c>
      <c r="E48" s="569"/>
      <c r="F48" s="570"/>
      <c r="Q48" s="21"/>
      <c r="R48" s="11"/>
      <c r="S48" s="11"/>
      <c r="T48" s="11"/>
    </row>
    <row r="49" spans="1:20">
      <c r="Q49" s="21"/>
      <c r="R49" s="11"/>
      <c r="S49" s="11"/>
      <c r="T49" s="11"/>
    </row>
    <row r="50" spans="1:20" s="549" customFormat="1">
      <c r="A50" s="542" t="s">
        <v>25</v>
      </c>
      <c r="B50" s="542" t="s">
        <v>99</v>
      </c>
      <c r="C50" s="384">
        <v>117</v>
      </c>
      <c r="D50" s="543">
        <v>300</v>
      </c>
      <c r="E50" s="550">
        <f>+D50/P50*(CALC!$A$4)</f>
        <v>24444.444444444445</v>
      </c>
      <c r="F50" s="545">
        <v>3000</v>
      </c>
      <c r="G50" s="546">
        <f>6057.27*(1+CALC!$A$2)</f>
        <v>4694.3842500000001</v>
      </c>
      <c r="H50" s="546">
        <f>40000*(1+CALC!$A$2)</f>
        <v>31000</v>
      </c>
      <c r="I50" s="545"/>
      <c r="J50" s="545"/>
      <c r="K50" s="545">
        <v>240</v>
      </c>
      <c r="L50" s="545"/>
      <c r="M50" s="545">
        <f>SUM(E50:L50)</f>
        <v>63378.828694444441</v>
      </c>
      <c r="N50" s="546">
        <f>M50/CALC!$A$8*CALC!$A$6</f>
        <v>2058.8869967614223</v>
      </c>
      <c r="O50" s="545">
        <f>+M50+N50</f>
        <v>65437.715691205864</v>
      </c>
      <c r="P50" s="547">
        <v>0.27</v>
      </c>
      <c r="Q50" s="564"/>
      <c r="R50" s="563"/>
      <c r="S50" s="563"/>
      <c r="T50" s="563"/>
    </row>
    <row r="51" spans="1:20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24444.444444444445</v>
      </c>
      <c r="F52" s="14">
        <f t="shared" si="8"/>
        <v>3000</v>
      </c>
      <c r="G52" s="14">
        <f t="shared" si="8"/>
        <v>4694.3842500000001</v>
      </c>
      <c r="H52" s="14">
        <f t="shared" si="8"/>
        <v>31000</v>
      </c>
      <c r="I52" s="14">
        <f t="shared" si="8"/>
        <v>0</v>
      </c>
      <c r="J52" s="14">
        <f t="shared" si="8"/>
        <v>0</v>
      </c>
      <c r="K52" s="14">
        <f t="shared" si="8"/>
        <v>240</v>
      </c>
      <c r="L52" s="14"/>
      <c r="M52" s="14">
        <f t="shared" si="8"/>
        <v>63378.828694444441</v>
      </c>
      <c r="N52" s="14">
        <f>M52/CALC!$A$8*CALC!$A$6</f>
        <v>2058.8869967614223</v>
      </c>
      <c r="O52" s="14">
        <f>+M52+N52</f>
        <v>65437.715691205864</v>
      </c>
      <c r="P52" s="33"/>
      <c r="Q52" s="135">
        <f>(+O52/D52)*(1+CALC!$A$3)</f>
        <v>218.12571897068622</v>
      </c>
      <c r="R52" s="35"/>
      <c r="S52" s="35"/>
      <c r="T52" s="35"/>
    </row>
    <row r="53" spans="1:20" ht="10.8" thickBot="1">
      <c r="Q53" s="21"/>
      <c r="R53" s="11"/>
      <c r="S53" s="11"/>
      <c r="T53" s="11"/>
    </row>
    <row r="54" spans="1:20" ht="10.8" thickBot="1">
      <c r="A54" s="330" t="s">
        <v>10</v>
      </c>
      <c r="B54" s="331" t="s">
        <v>155</v>
      </c>
      <c r="D54" s="568" t="s">
        <v>159</v>
      </c>
      <c r="E54" s="569"/>
      <c r="F54" s="570"/>
      <c r="Q54" s="21"/>
      <c r="R54" s="11"/>
      <c r="S54" s="11"/>
      <c r="T54" s="11"/>
    </row>
    <row r="55" spans="1:20">
      <c r="Q55" s="21"/>
      <c r="R55" s="11"/>
      <c r="S55" s="11"/>
      <c r="T55" s="11"/>
    </row>
    <row r="56" spans="1:20" s="549" customFormat="1">
      <c r="A56" s="542" t="s">
        <v>87</v>
      </c>
      <c r="B56" s="542" t="s">
        <v>126</v>
      </c>
      <c r="C56" s="384">
        <v>103</v>
      </c>
      <c r="D56" s="543">
        <v>300</v>
      </c>
      <c r="E56" s="550">
        <f>+D56/P56*(CALC!$A$4)</f>
        <v>8461.538461538461</v>
      </c>
      <c r="F56" s="545">
        <v>3000</v>
      </c>
      <c r="G56" s="545">
        <f>710*(1+CALC!$A$2)</f>
        <v>550.25</v>
      </c>
      <c r="H56" s="545">
        <f>5000*(1+CALC!$A$2)</f>
        <v>3875</v>
      </c>
      <c r="I56" s="545"/>
      <c r="J56" s="545"/>
      <c r="K56" s="545">
        <v>240</v>
      </c>
      <c r="L56" s="545"/>
      <c r="M56" s="545">
        <f>SUM(E56:L56)</f>
        <v>16126.788461538461</v>
      </c>
      <c r="N56" s="546">
        <f>M56/CALC!$A$8*CALC!$A$6</f>
        <v>523.8852744196289</v>
      </c>
      <c r="O56" s="545">
        <f>+M56+N56</f>
        <v>16650.673735958091</v>
      </c>
      <c r="P56" s="547">
        <v>0.78</v>
      </c>
      <c r="Q56" s="564"/>
    </row>
    <row r="57" spans="1:20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8461.538461538461</v>
      </c>
      <c r="F58" s="14">
        <f t="shared" si="9"/>
        <v>3000</v>
      </c>
      <c r="G58" s="14">
        <f t="shared" si="9"/>
        <v>550.25</v>
      </c>
      <c r="H58" s="14">
        <f t="shared" si="9"/>
        <v>3875</v>
      </c>
      <c r="I58" s="14">
        <f t="shared" si="9"/>
        <v>0</v>
      </c>
      <c r="J58" s="14">
        <f t="shared" si="9"/>
        <v>0</v>
      </c>
      <c r="K58" s="14">
        <f t="shared" si="9"/>
        <v>240</v>
      </c>
      <c r="L58" s="14"/>
      <c r="M58" s="14">
        <f t="shared" si="9"/>
        <v>16126.788461538461</v>
      </c>
      <c r="N58" s="14">
        <f>M58/CALC!$A$8*CALC!$A$6</f>
        <v>523.8852744196289</v>
      </c>
      <c r="O58" s="14">
        <f>+M58+N58</f>
        <v>16650.673735958091</v>
      </c>
      <c r="P58" s="33"/>
      <c r="Q58" s="135">
        <f>(+O58/D58)*(1+CALC!$A$3)</f>
        <v>55.50224578652697</v>
      </c>
      <c r="R58" s="35"/>
      <c r="S58" s="35"/>
      <c r="T58" s="35"/>
    </row>
    <row r="59" spans="1:20" ht="10.8" thickBot="1">
      <c r="Q59" s="21"/>
      <c r="R59" s="11"/>
      <c r="S59" s="11"/>
      <c r="T59" s="11"/>
    </row>
    <row r="60" spans="1:20" ht="10.8" thickBot="1">
      <c r="A60" s="330" t="s">
        <v>10</v>
      </c>
      <c r="B60" s="331" t="s">
        <v>156</v>
      </c>
      <c r="D60" s="568" t="s">
        <v>42</v>
      </c>
      <c r="E60" s="569"/>
      <c r="F60" s="570"/>
      <c r="Q60" s="21"/>
      <c r="R60" s="11"/>
      <c r="S60" s="11"/>
      <c r="T60" s="11"/>
    </row>
    <row r="61" spans="1:20">
      <c r="Q61" s="21"/>
      <c r="R61" s="11"/>
      <c r="S61" s="11"/>
      <c r="T61" s="11"/>
    </row>
    <row r="62" spans="1:20" s="549" customFormat="1">
      <c r="A62" s="542" t="s">
        <v>127</v>
      </c>
      <c r="B62" s="565" t="s">
        <v>128</v>
      </c>
      <c r="C62" s="384">
        <v>328</v>
      </c>
      <c r="D62" s="543">
        <v>25000</v>
      </c>
      <c r="E62" s="550">
        <f>+D62/P62*(CALC!$A$4)</f>
        <v>550000</v>
      </c>
      <c r="F62" s="545">
        <v>3000</v>
      </c>
      <c r="G62" s="545">
        <f>8600*(1+CALC!$A$2)</f>
        <v>6665</v>
      </c>
      <c r="H62" s="545">
        <f>40000*(1+CALC!$A$2)</f>
        <v>31000</v>
      </c>
      <c r="I62" s="545"/>
      <c r="J62" s="545"/>
      <c r="K62" s="545">
        <v>10200</v>
      </c>
      <c r="L62" s="545"/>
      <c r="M62" s="545">
        <f>SUM(E62:L62)</f>
        <v>600865</v>
      </c>
      <c r="N62" s="546">
        <f>M62/CALC!$A$8*CALC!$A$6</f>
        <v>19519.343616671991</v>
      </c>
      <c r="O62" s="545">
        <f>+M62+N62</f>
        <v>620384.34361667198</v>
      </c>
      <c r="P62" s="547">
        <v>1</v>
      </c>
      <c r="Q62" s="564"/>
      <c r="R62" s="563"/>
      <c r="S62" s="563"/>
      <c r="T62" s="563"/>
    </row>
    <row r="63" spans="1:20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550000</v>
      </c>
      <c r="F64" s="14">
        <f t="shared" si="10"/>
        <v>3000</v>
      </c>
      <c r="G64" s="14">
        <f t="shared" si="10"/>
        <v>6665</v>
      </c>
      <c r="H64" s="14">
        <f t="shared" si="10"/>
        <v>31000</v>
      </c>
      <c r="I64" s="14">
        <f t="shared" si="10"/>
        <v>0</v>
      </c>
      <c r="J64" s="14">
        <f t="shared" si="10"/>
        <v>0</v>
      </c>
      <c r="K64" s="14">
        <f t="shared" si="10"/>
        <v>10200</v>
      </c>
      <c r="L64" s="14"/>
      <c r="M64" s="14">
        <f t="shared" si="10"/>
        <v>600865</v>
      </c>
      <c r="N64" s="14">
        <f>M64/CALC!$A$8*CALC!$A$6</f>
        <v>19519.343616671991</v>
      </c>
      <c r="O64" s="14">
        <f>+M64+N64</f>
        <v>620384.34361667198</v>
      </c>
      <c r="P64" s="33"/>
      <c r="Q64" s="135">
        <f>(+O64/D64)*(1+CALC!$A$3)</f>
        <v>24.815373744666879</v>
      </c>
      <c r="R64" s="35"/>
      <c r="S64" s="35"/>
      <c r="T64" s="35"/>
    </row>
    <row r="65" spans="1:20">
      <c r="Q65" s="21"/>
      <c r="R65" s="11"/>
      <c r="S65" s="11"/>
      <c r="T65" s="11"/>
    </row>
    <row r="66" spans="1:20">
      <c r="Q66" s="21"/>
      <c r="R66" s="11"/>
      <c r="S66" s="11"/>
      <c r="T66" s="11"/>
    </row>
    <row r="67" spans="1:20" ht="10.8" hidden="1" thickBot="1">
      <c r="A67" s="71" t="s">
        <v>10</v>
      </c>
      <c r="B67" s="72" t="s">
        <v>65</v>
      </c>
      <c r="D67" s="571" t="s">
        <v>43</v>
      </c>
      <c r="E67" s="572"/>
      <c r="F67" s="573"/>
      <c r="Q67" s="21"/>
      <c r="R67" s="11"/>
      <c r="S67" s="11"/>
      <c r="T67" s="11"/>
    </row>
    <row r="68" spans="1:20" hidden="1">
      <c r="Q68" s="21"/>
      <c r="R68" s="11"/>
      <c r="S68" s="11"/>
      <c r="T68" s="11"/>
    </row>
    <row r="69" spans="1:20" hidden="1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>
      <c r="Q73" s="21"/>
      <c r="R73" s="11"/>
      <c r="S73" s="11"/>
      <c r="T73" s="11"/>
    </row>
    <row r="74" spans="1:20" s="18" customFormat="1" ht="10.8" thickBot="1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0.8" thickBot="1">
      <c r="A75" s="330" t="s">
        <v>10</v>
      </c>
      <c r="B75" s="331" t="s">
        <v>157</v>
      </c>
      <c r="D75" s="568" t="s">
        <v>160</v>
      </c>
      <c r="E75" s="569"/>
      <c r="F75" s="570"/>
      <c r="Q75" s="21"/>
      <c r="R75" s="11"/>
      <c r="S75" s="11"/>
      <c r="T75" s="11"/>
    </row>
    <row r="76" spans="1:20">
      <c r="Q76" s="21"/>
      <c r="R76" s="11"/>
      <c r="S76" s="11"/>
      <c r="T76" s="11"/>
    </row>
    <row r="77" spans="1:20" s="549" customFormat="1">
      <c r="A77" s="542" t="s">
        <v>680</v>
      </c>
      <c r="B77" s="542"/>
      <c r="C77" s="384">
        <v>417</v>
      </c>
      <c r="D77" s="543">
        <v>35000</v>
      </c>
      <c r="E77" s="550">
        <f>+D77/P77*(CALC!$A$4)</f>
        <v>229166.66666666669</v>
      </c>
      <c r="F77" s="545">
        <v>3000</v>
      </c>
      <c r="G77" s="545">
        <f>9900*(1+CALC!$A$2)</f>
        <v>7672.5</v>
      </c>
      <c r="H77" s="545">
        <f>55000*(1+CALC!$A$2)</f>
        <v>42625</v>
      </c>
      <c r="I77" s="545">
        <f>726389/8*0.75</f>
        <v>68098.96875</v>
      </c>
      <c r="J77" s="545"/>
      <c r="K77" s="545">
        <v>10200</v>
      </c>
      <c r="L77" s="545"/>
      <c r="M77" s="545">
        <f>SUM(E77:L77)</f>
        <v>360763.13541666669</v>
      </c>
      <c r="N77" s="546">
        <f>M77/CALC!$A$8*CALC!$A$6</f>
        <v>11719.537008189671</v>
      </c>
      <c r="O77" s="545">
        <f>+M77+N77</f>
        <v>372482.67242485634</v>
      </c>
      <c r="P77" s="547">
        <v>3.36</v>
      </c>
      <c r="Q77" s="548"/>
      <c r="R77" s="563"/>
      <c r="S77" s="563"/>
      <c r="T77" s="563"/>
    </row>
    <row r="78" spans="1:20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229166.66666666669</v>
      </c>
      <c r="F79" s="14">
        <f t="shared" si="11"/>
        <v>3000</v>
      </c>
      <c r="G79" s="14">
        <f t="shared" si="11"/>
        <v>7672.5</v>
      </c>
      <c r="H79" s="14">
        <f t="shared" si="11"/>
        <v>42625</v>
      </c>
      <c r="I79" s="14">
        <f t="shared" si="11"/>
        <v>68098.96875</v>
      </c>
      <c r="J79" s="14">
        <f t="shared" si="11"/>
        <v>0</v>
      </c>
      <c r="K79" s="14">
        <f t="shared" si="11"/>
        <v>10200</v>
      </c>
      <c r="L79" s="14"/>
      <c r="M79" s="14">
        <f t="shared" si="11"/>
        <v>360763.13541666669</v>
      </c>
      <c r="N79" s="14">
        <f>M79/CALC!$A$8*CALC!$A$6</f>
        <v>11719.537008189671</v>
      </c>
      <c r="O79" s="14">
        <f>+M79+N79</f>
        <v>372482.67242485634</v>
      </c>
      <c r="P79" s="33"/>
      <c r="Q79" s="135">
        <f>(+O79/D79)*(1+CALC!$A$3)</f>
        <v>10.64236206928161</v>
      </c>
      <c r="R79" s="35"/>
      <c r="S79" s="35"/>
      <c r="T79" s="35"/>
    </row>
    <row r="80" spans="1:20" s="18" customFormat="1" ht="10.8" thickBot="1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0.8" thickBot="1">
      <c r="A81" s="330" t="s">
        <v>10</v>
      </c>
      <c r="B81" s="331" t="s">
        <v>195</v>
      </c>
      <c r="D81" s="568" t="s">
        <v>161</v>
      </c>
      <c r="E81" s="569"/>
      <c r="F81" s="570"/>
      <c r="Q81" s="21"/>
      <c r="R81" s="11"/>
      <c r="S81" s="11"/>
      <c r="T81" s="11"/>
    </row>
    <row r="82" spans="1:20">
      <c r="Q82" s="21"/>
      <c r="R82" s="11"/>
      <c r="S82" s="11"/>
      <c r="T82" s="11"/>
    </row>
    <row r="83" spans="1:20" s="549" customFormat="1">
      <c r="A83" s="542" t="s">
        <v>680</v>
      </c>
      <c r="B83" s="542"/>
      <c r="C83" s="384">
        <v>419</v>
      </c>
      <c r="D83" s="543">
        <v>30000</v>
      </c>
      <c r="E83" s="550">
        <f>+D83/P83*(CALC!$A$4)</f>
        <v>660000</v>
      </c>
      <c r="F83" s="545">
        <v>3000</v>
      </c>
      <c r="G83" s="545">
        <f>9900*(1+CALC!$A$2)</f>
        <v>7672.5</v>
      </c>
      <c r="H83" s="545">
        <f>50000*(1+CALC!$A$2)</f>
        <v>38750</v>
      </c>
      <c r="I83" s="545">
        <f>902879/8*0.75</f>
        <v>84644.90625</v>
      </c>
      <c r="J83" s="545"/>
      <c r="K83" s="545">
        <v>10200</v>
      </c>
      <c r="L83" s="545"/>
      <c r="M83" s="545">
        <f>SUM(E83:L83)</f>
        <v>804267.40625</v>
      </c>
      <c r="N83" s="546">
        <f>M83/CALC!$A$8*CALC!$A$6</f>
        <v>26126.953412635583</v>
      </c>
      <c r="O83" s="545">
        <f>+M83+N83</f>
        <v>830394.3596626356</v>
      </c>
      <c r="P83" s="547">
        <v>1</v>
      </c>
      <c r="Q83" s="548"/>
      <c r="R83" s="563"/>
      <c r="S83" s="563"/>
      <c r="T83" s="563"/>
    </row>
    <row r="84" spans="1:20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660000</v>
      </c>
      <c r="F85" s="14">
        <f t="shared" si="12"/>
        <v>3000</v>
      </c>
      <c r="G85" s="14">
        <f t="shared" si="12"/>
        <v>7672.5</v>
      </c>
      <c r="H85" s="14">
        <f t="shared" si="12"/>
        <v>38750</v>
      </c>
      <c r="I85" s="14">
        <f t="shared" si="12"/>
        <v>84644.90625</v>
      </c>
      <c r="J85" s="14">
        <f t="shared" si="12"/>
        <v>0</v>
      </c>
      <c r="K85" s="14">
        <f t="shared" si="12"/>
        <v>10200</v>
      </c>
      <c r="L85" s="14"/>
      <c r="M85" s="14">
        <f t="shared" si="12"/>
        <v>804267.40625</v>
      </c>
      <c r="N85" s="14">
        <f>M85/CALC!$A$8*CALC!$A$6</f>
        <v>26126.953412635583</v>
      </c>
      <c r="O85" s="14">
        <f>+M85+N85</f>
        <v>830394.3596626356</v>
      </c>
      <c r="P85" s="33"/>
      <c r="Q85" s="135">
        <f>(+O85/D85)*(1+CALC!$A$3)</f>
        <v>27.679811988754519</v>
      </c>
      <c r="R85" s="35"/>
      <c r="S85" s="35"/>
      <c r="T85" s="35"/>
    </row>
    <row r="86" spans="1:20" ht="10.8" thickBot="1">
      <c r="Q86" s="21"/>
      <c r="R86" s="11"/>
      <c r="S86" s="11"/>
      <c r="T86" s="11"/>
    </row>
    <row r="87" spans="1:20" s="18" customFormat="1" ht="10.8" thickBot="1">
      <c r="A87" s="42" t="s">
        <v>105</v>
      </c>
      <c r="B87" s="92" t="s">
        <v>14</v>
      </c>
      <c r="C87" s="93"/>
      <c r="D87" s="94">
        <f>+D88+D89+D90</f>
        <v>441600</v>
      </c>
      <c r="E87" s="95">
        <f>+E88+E89+E90</f>
        <v>3558427.3187727029</v>
      </c>
      <c r="F87" s="95">
        <f t="shared" ref="F87:O87" si="13">+F88+F89+F90</f>
        <v>66000</v>
      </c>
      <c r="G87" s="95">
        <f t="shared" si="13"/>
        <v>101263.32125000001</v>
      </c>
      <c r="H87" s="95">
        <f>+H88+H89+H90</f>
        <v>957250</v>
      </c>
      <c r="I87" s="95">
        <f t="shared" si="13"/>
        <v>550311.77499999991</v>
      </c>
      <c r="J87" s="95">
        <f t="shared" si="13"/>
        <v>0</v>
      </c>
      <c r="K87" s="95">
        <f t="shared" si="13"/>
        <v>98160</v>
      </c>
      <c r="L87" s="95">
        <f t="shared" si="13"/>
        <v>0</v>
      </c>
      <c r="M87" s="95">
        <f t="shared" si="13"/>
        <v>5331412.4150227038</v>
      </c>
      <c r="N87" s="95">
        <f t="shared" si="13"/>
        <v>173193.09810193509</v>
      </c>
      <c r="O87" s="95">
        <f t="shared" si="13"/>
        <v>5504605.5131246373</v>
      </c>
      <c r="P87" s="34"/>
      <c r="Q87" s="34"/>
      <c r="R87" s="35"/>
      <c r="S87" s="35"/>
      <c r="T87" s="35"/>
    </row>
    <row r="88" spans="1:20" s="18" customFormat="1" ht="10.8" thickBot="1">
      <c r="A88" s="42" t="s">
        <v>129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2663877.5744141131</v>
      </c>
      <c r="F88" s="76">
        <f t="shared" ref="F88:O88" si="14">+F7+F8+F11+F14+F15+F16+F25+F30+F35+F45+F52+F64+F85</f>
        <v>45000</v>
      </c>
      <c r="G88" s="76">
        <f t="shared" si="14"/>
        <v>71351.987000000008</v>
      </c>
      <c r="H88" s="76">
        <f t="shared" si="14"/>
        <v>675750</v>
      </c>
      <c r="I88" s="76">
        <f t="shared" si="14"/>
        <v>369117.38624999998</v>
      </c>
      <c r="J88" s="76">
        <f t="shared" si="14"/>
        <v>0</v>
      </c>
      <c r="K88" s="76">
        <f t="shared" si="14"/>
        <v>66720</v>
      </c>
      <c r="L88" s="76">
        <f t="shared" si="14"/>
        <v>0</v>
      </c>
      <c r="M88" s="76">
        <f t="shared" si="14"/>
        <v>3891816.9476641132</v>
      </c>
      <c r="N88" s="76">
        <f t="shared" si="14"/>
        <v>126427.2545324547</v>
      </c>
      <c r="O88" s="76">
        <f t="shared" si="14"/>
        <v>4018244.2021965678</v>
      </c>
      <c r="P88" s="150"/>
      <c r="Q88" s="43"/>
      <c r="R88" s="35"/>
      <c r="S88" s="35"/>
      <c r="T88" s="35"/>
    </row>
    <row r="89" spans="1:20" s="18" customFormat="1" ht="10.8" thickBot="1">
      <c r="A89" s="42" t="s">
        <v>130</v>
      </c>
      <c r="B89" s="73" t="s">
        <v>14</v>
      </c>
      <c r="C89" s="74"/>
      <c r="D89" s="75">
        <f>+D9+D10</f>
        <v>60000</v>
      </c>
      <c r="E89" s="76">
        <f>+E9+E10</f>
        <v>197901.04947526238</v>
      </c>
      <c r="F89" s="76">
        <f t="shared" ref="F89:O89" si="15">+F9+F10</f>
        <v>6000</v>
      </c>
      <c r="G89" s="76">
        <f t="shared" si="15"/>
        <v>8497.1</v>
      </c>
      <c r="H89" s="76">
        <f t="shared" si="15"/>
        <v>70000</v>
      </c>
      <c r="I89" s="76">
        <f t="shared" si="15"/>
        <v>30787.68</v>
      </c>
      <c r="J89" s="76">
        <f t="shared" si="15"/>
        <v>0</v>
      </c>
      <c r="K89" s="76">
        <f t="shared" si="15"/>
        <v>1920</v>
      </c>
      <c r="L89" s="76">
        <f t="shared" si="15"/>
        <v>0</v>
      </c>
      <c r="M89" s="76">
        <f t="shared" si="15"/>
        <v>315105.82947526238</v>
      </c>
      <c r="N89" s="76">
        <f t="shared" si="15"/>
        <v>10236.34087714228</v>
      </c>
      <c r="O89" s="76">
        <f t="shared" si="15"/>
        <v>325342.17035240465</v>
      </c>
      <c r="P89" s="43"/>
      <c r="Q89" s="43"/>
      <c r="R89" s="35"/>
      <c r="S89" s="35"/>
      <c r="T89" s="35"/>
    </row>
    <row r="90" spans="1:20" s="18" customFormat="1" ht="10.8" thickBot="1">
      <c r="A90" s="42" t="s">
        <v>131</v>
      </c>
      <c r="B90" s="73" t="s">
        <v>14</v>
      </c>
      <c r="C90" s="74"/>
      <c r="D90" s="75">
        <f>+D12+D13+D39+D58+D77</f>
        <v>88300</v>
      </c>
      <c r="E90" s="76">
        <f>+E12+E13+E39+E58+E77</f>
        <v>696648.69488332758</v>
      </c>
      <c r="F90" s="76">
        <f t="shared" ref="F90:O90" si="16">+F12+F13+F39+F58+F77</f>
        <v>15000</v>
      </c>
      <c r="G90" s="76">
        <f t="shared" si="16"/>
        <v>21414.234250000001</v>
      </c>
      <c r="H90" s="76">
        <f t="shared" si="16"/>
        <v>211500</v>
      </c>
      <c r="I90" s="76">
        <f t="shared" si="16"/>
        <v>150406.70874999999</v>
      </c>
      <c r="J90" s="76">
        <f t="shared" si="16"/>
        <v>0</v>
      </c>
      <c r="K90" s="76">
        <f t="shared" si="16"/>
        <v>29520</v>
      </c>
      <c r="L90" s="76">
        <f t="shared" si="16"/>
        <v>0</v>
      </c>
      <c r="M90" s="76">
        <f t="shared" si="16"/>
        <v>1124489.6378833277</v>
      </c>
      <c r="N90" s="76">
        <f t="shared" si="16"/>
        <v>36529.502692338108</v>
      </c>
      <c r="O90" s="76">
        <f t="shared" si="16"/>
        <v>1161019.1405756655</v>
      </c>
      <c r="P90" s="43"/>
      <c r="Q90" s="43"/>
      <c r="R90" s="35"/>
      <c r="S90" s="35"/>
      <c r="T90" s="35"/>
    </row>
    <row r="91" spans="1:20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>
      <c r="O92" s="28"/>
      <c r="Q92" s="21"/>
      <c r="R92" s="11"/>
      <c r="S92" s="11"/>
      <c r="T92" s="11"/>
    </row>
    <row r="93" spans="1:20">
      <c r="D93" s="17">
        <f>+D18+D25+D30+D35+D40+D45+D52+D58+D64+D79+D85</f>
        <v>441600</v>
      </c>
      <c r="E93" s="17">
        <f t="shared" ref="E93:O93" si="17">+E18+E25+E30+E35+E40+E45+E52+E58+E64+E79+E85</f>
        <v>3558427.3187727029</v>
      </c>
      <c r="F93" s="17">
        <f t="shared" si="17"/>
        <v>66000</v>
      </c>
      <c r="G93" s="17">
        <f t="shared" si="17"/>
        <v>101263.32125000002</v>
      </c>
      <c r="H93" s="17">
        <f t="shared" si="17"/>
        <v>957250</v>
      </c>
      <c r="I93" s="17">
        <f t="shared" si="17"/>
        <v>550311.77499999991</v>
      </c>
      <c r="J93" s="17">
        <f t="shared" si="17"/>
        <v>0</v>
      </c>
      <c r="K93" s="17">
        <f t="shared" si="17"/>
        <v>98160</v>
      </c>
      <c r="L93" s="17">
        <f t="shared" si="17"/>
        <v>0</v>
      </c>
      <c r="M93" s="17">
        <f t="shared" si="17"/>
        <v>5331412.4150227038</v>
      </c>
      <c r="N93" s="17">
        <f t="shared" si="17"/>
        <v>173193.09810193506</v>
      </c>
      <c r="O93" s="17">
        <f t="shared" si="17"/>
        <v>5504605.5131246382</v>
      </c>
      <c r="Q93" s="21"/>
      <c r="R93" s="11"/>
      <c r="S93" s="11"/>
      <c r="T93" s="11"/>
    </row>
    <row r="94" spans="1:20">
      <c r="I94" s="64">
        <f>-I79</f>
        <v>-68098.96875</v>
      </c>
      <c r="O94" s="28"/>
      <c r="Q94" s="21"/>
      <c r="R94" s="11"/>
      <c r="S94" s="11"/>
      <c r="T94" s="11"/>
    </row>
    <row r="95" spans="1:20">
      <c r="I95" s="64">
        <f>-I85</f>
        <v>-84644.90625</v>
      </c>
      <c r="Q95" s="21"/>
      <c r="R95" s="11"/>
      <c r="S95" s="11"/>
      <c r="T95" s="11"/>
    </row>
    <row r="96" spans="1:20">
      <c r="Q96" s="21"/>
      <c r="R96" s="11"/>
      <c r="S96" s="11"/>
      <c r="T96" s="11"/>
    </row>
    <row r="97" spans="9:20">
      <c r="Q97" s="21"/>
      <c r="R97" s="11"/>
      <c r="S97" s="11"/>
      <c r="T97" s="11"/>
    </row>
    <row r="98" spans="9:20">
      <c r="Q98" s="21"/>
      <c r="R98" s="11"/>
      <c r="S98" s="11"/>
      <c r="T98" s="11"/>
    </row>
    <row r="99" spans="9:20">
      <c r="I99" s="15">
        <f>233684+35368+155280+1157728+2463975+965892</f>
        <v>5011927</v>
      </c>
      <c r="Q99" s="21"/>
      <c r="R99" s="11"/>
      <c r="S99" s="11"/>
      <c r="T99" s="11"/>
    </row>
    <row r="100" spans="9:20">
      <c r="Q100" s="21"/>
      <c r="R100" s="11"/>
      <c r="S100" s="11"/>
      <c r="T100" s="11"/>
    </row>
    <row r="101" spans="9:20">
      <c r="Q101" s="21"/>
      <c r="R101" s="11"/>
      <c r="S101" s="11"/>
      <c r="T101" s="11"/>
    </row>
    <row r="102" spans="9:20">
      <c r="Q102" s="21"/>
      <c r="R102" s="11"/>
      <c r="S102" s="11"/>
      <c r="T102" s="11"/>
    </row>
    <row r="103" spans="9:20">
      <c r="Q103" s="21"/>
      <c r="R103" s="11"/>
      <c r="S103" s="11"/>
      <c r="T103" s="11"/>
    </row>
    <row r="104" spans="9:20">
      <c r="Q104" s="21"/>
      <c r="R104" s="11"/>
      <c r="S104" s="11"/>
      <c r="T104" s="11"/>
    </row>
    <row r="105" spans="9:20">
      <c r="Q105" s="21"/>
      <c r="R105" s="11"/>
      <c r="S105" s="11"/>
      <c r="T105" s="11"/>
    </row>
    <row r="130" spans="6:6">
      <c r="F130" s="2">
        <f>SUM(F121:F129)</f>
        <v>0</v>
      </c>
    </row>
  </sheetData>
  <customSheetViews>
    <customSheetView guid="{08F29437-BBE1-46C0-B84C-12B7ABEF1718}" showPageBreaks="1" printArea="1" hiddenRows="1" hiddenColumns="1" view="pageBreakPreview">
      <pane xSplit="3" ySplit="3" topLeftCell="D4" activePane="bottomRight" state="frozen"/>
      <selection pane="bottomRight" activeCell="N7" sqref="N7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6C0BD6A7-6718-429D-82D9-D2FE0341EA2C}" showPageBreaks="1" printArea="1" hiddenRows="1" hiddenColumns="1" view="pageBreakPreview">
      <pane xSplit="3" ySplit="3" topLeftCell="D63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  <customSheetView guid="{DF69299D-7752-4436-A45D-28F739CEE21B}" showPageBreaks="1" printArea="1" hiddenRows="1" hiddenColumns="1" view="pageBreakPreview">
      <pane xSplit="3" ySplit="3" topLeftCell="D4" activePane="bottomRight" state="frozen"/>
      <selection pane="bottomRight" activeCell="N7" sqref="N7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4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5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topLeftCell="A17" zoomScaleSheetLayoutView="100" workbookViewId="0">
      <selection activeCell="B73" sqref="B73"/>
    </sheetView>
  </sheetViews>
  <sheetFormatPr defaultColWidth="9.21875" defaultRowHeight="15.6"/>
  <cols>
    <col min="1" max="1" width="30.77734375" style="415" bestFit="1" customWidth="1"/>
    <col min="2" max="2" width="20.77734375" style="413" bestFit="1" customWidth="1"/>
    <col min="3" max="3" width="16.21875" style="482" hidden="1" customWidth="1"/>
    <col min="4" max="5" width="15.21875" style="482" hidden="1" customWidth="1"/>
    <col min="6" max="8" width="13.21875" style="482" hidden="1" customWidth="1"/>
    <col min="9" max="11" width="15.21875" style="482" hidden="1" customWidth="1"/>
    <col min="12" max="12" width="13.21875" style="482" hidden="1" customWidth="1"/>
    <col min="13" max="13" width="15.21875" style="482" hidden="1" customWidth="1"/>
    <col min="14" max="14" width="13.21875" style="482" hidden="1" customWidth="1"/>
    <col min="15" max="15" width="12" style="482" hidden="1" customWidth="1"/>
    <col min="16" max="16" width="10.44140625" style="482" hidden="1" customWidth="1"/>
    <col min="17" max="17" width="11.21875" style="483" hidden="1" customWidth="1"/>
    <col min="18" max="19" width="9.21875" style="483" hidden="1" customWidth="1"/>
    <col min="20" max="20" width="20.77734375" style="414" bestFit="1" customWidth="1"/>
    <col min="21" max="21" width="9.21875" style="414" customWidth="1"/>
    <col min="22" max="22" width="20.77734375" style="413" bestFit="1" customWidth="1"/>
    <col min="23" max="23" width="9.21875" style="413"/>
    <col min="24" max="24" width="15.5546875" style="413" bestFit="1" customWidth="1"/>
    <col min="25" max="28" width="20.77734375" style="413" bestFit="1" customWidth="1"/>
    <col min="29" max="16384" width="9.21875" style="413"/>
  </cols>
  <sheetData>
    <row r="1" spans="1:21">
      <c r="A1" s="412" t="s">
        <v>1510</v>
      </c>
      <c r="C1" s="481"/>
    </row>
    <row r="2" spans="1:21" ht="16.2" thickBot="1">
      <c r="G2" s="483"/>
    </row>
    <row r="3" spans="1:21" hidden="1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1498</v>
      </c>
    </row>
    <row r="4" spans="1:21" ht="14.25" hidden="1" customHeight="1">
      <c r="A4" s="418"/>
      <c r="B4" s="419"/>
      <c r="C4" s="486">
        <f>+mayor!Q11</f>
        <v>6.3133561131744287</v>
      </c>
      <c r="D4" s="486">
        <f>+mayor!Q18</f>
        <v>11.879354569643626</v>
      </c>
      <c r="E4" s="486">
        <f>+mayor!Q24</f>
        <v>4.3664611606331158</v>
      </c>
      <c r="F4" s="486">
        <f>+mayor!Q30</f>
        <v>12.840064662276227</v>
      </c>
      <c r="G4" s="487">
        <f>+mayor!Q36</f>
        <v>6.4543046458567135</v>
      </c>
    </row>
    <row r="5" spans="1:21" s="424" customFormat="1" hidden="1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2522002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>
      <c r="A6" s="425"/>
      <c r="B6" s="426">
        <f>+C6+D6+E6+F6+G6</f>
        <v>1328777.2577673686</v>
      </c>
      <c r="C6" s="492">
        <f>+C8+C10</f>
        <v>277004.81282164122</v>
      </c>
      <c r="D6" s="492">
        <f>+D8+D10</f>
        <v>261345.80053215977</v>
      </c>
      <c r="E6" s="492">
        <f t="shared" si="0"/>
        <v>142241.83876878439</v>
      </c>
      <c r="F6" s="492">
        <f t="shared" si="0"/>
        <v>402921.22910222801</v>
      </c>
      <c r="G6" s="493">
        <f t="shared" si="0"/>
        <v>245263.57654255512</v>
      </c>
      <c r="H6" s="493"/>
    </row>
    <row r="7" spans="1:21" s="428" customFormat="1" ht="16.2" hidden="1" thickBot="1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>
      <c r="A8" s="448" t="s">
        <v>113</v>
      </c>
      <c r="B8" s="449">
        <f t="shared" si="1"/>
        <v>272556.88391821133</v>
      </c>
      <c r="C8" s="496">
        <f>+C7*C4</f>
        <v>130004.62908248784</v>
      </c>
      <c r="D8" s="497">
        <f t="shared" ref="D8:F8" si="2">+D7*D4</f>
        <v>142552.25483572352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>
      <c r="A10" s="450" t="s">
        <v>114</v>
      </c>
      <c r="B10" s="452">
        <f t="shared" si="1"/>
        <v>265793.72943558963</v>
      </c>
      <c r="C10" s="496">
        <f>+C9*C4</f>
        <v>147000.18373915341</v>
      </c>
      <c r="D10" s="497">
        <f t="shared" ref="D10:F10" si="3">+D9*D4</f>
        <v>118793.54569643625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>
      <c r="A12" s="450" t="s">
        <v>242</v>
      </c>
      <c r="B12" s="451">
        <f>+C12+D12+E12+F12+G12</f>
        <v>790426.6444135675</v>
      </c>
      <c r="C12" s="496"/>
      <c r="D12" s="497"/>
      <c r="E12" s="497">
        <f>+E11*E4</f>
        <v>142241.83876878439</v>
      </c>
      <c r="F12" s="497">
        <f>+F11*F4</f>
        <v>402921.22910222801</v>
      </c>
      <c r="G12" s="497">
        <f>+G11*G4</f>
        <v>245263.57654255512</v>
      </c>
      <c r="H12" s="495"/>
      <c r="I12" s="531">
        <f>B8+B10+B12</f>
        <v>1328777.2577673686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>
      <c r="A15" s="450"/>
      <c r="B15" s="452"/>
      <c r="C15" s="496">
        <f>+income!Q12</f>
        <v>4.681741652822426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>
      <c r="A17" s="450" t="s">
        <v>240</v>
      </c>
      <c r="B17" s="452">
        <f>+C17</f>
        <v>280904.49916934554</v>
      </c>
      <c r="C17" s="496">
        <f>+$C$15*$C$16</f>
        <v>280904.49916934554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>
      <c r="A20" s="450"/>
      <c r="B20" s="452"/>
      <c r="C20" s="496">
        <f>+workshop!Q11</f>
        <v>12.256057052921589</v>
      </c>
      <c r="D20" s="497">
        <f>+workshop!Q16</f>
        <v>10.692765582894102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>
      <c r="A22" s="450" t="s">
        <v>66</v>
      </c>
      <c r="B22" s="452">
        <f>+C22+D22</f>
        <v>245421.10052695498</v>
      </c>
      <c r="C22" s="496">
        <f>+C21*C20</f>
        <v>138493.44469801395</v>
      </c>
      <c r="D22" s="497">
        <f>+D21*D20</f>
        <v>106927.65582894102</v>
      </c>
      <c r="E22" s="495"/>
      <c r="F22" s="495"/>
      <c r="G22" s="495"/>
      <c r="H22" s="495"/>
      <c r="I22" s="531">
        <f>B22+B24</f>
        <v>367981.67105617089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>
      <c r="A24" s="450" t="s">
        <v>1489</v>
      </c>
      <c r="B24" s="452">
        <f>+C24+D24</f>
        <v>122560.5705292159</v>
      </c>
      <c r="C24" s="496">
        <f>+C23*C20</f>
        <v>122560.5705292159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>
      <c r="A27" s="457"/>
      <c r="B27" s="452"/>
      <c r="C27" s="496">
        <f>+'COMMUNITY SERV'!Q9</f>
        <v>6.4308047132971033</v>
      </c>
      <c r="D27" s="497">
        <f>+'COMMUNITY SERV'!Q16</f>
        <v>7.4466749443042026</v>
      </c>
      <c r="E27" s="497">
        <f>+'COMMUNITY SERV'!Q23</f>
        <v>18.71453099067692</v>
      </c>
      <c r="F27" s="497">
        <f>+'COMMUNITY SERV'!Q29</f>
        <v>16.43038521898427</v>
      </c>
      <c r="G27" s="497">
        <f>+'COMMUNITY SERV'!Q40</f>
        <v>127.52397788978918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>
      <c r="A29" s="457" t="s">
        <v>67</v>
      </c>
      <c r="B29" s="451">
        <f>+'COMMUNITY SERV'!O51+'COMMUNITY SERV'!O61</f>
        <v>1358685.0453541987</v>
      </c>
      <c r="C29" s="496">
        <f>+C28*C27</f>
        <v>128616.09426594207</v>
      </c>
      <c r="D29" s="497">
        <f>+D28*D27</f>
        <v>260633.62305064709</v>
      </c>
      <c r="E29" s="497">
        <f>+E28*E27</f>
        <v>467863.27476692299</v>
      </c>
      <c r="F29" s="497">
        <f>+F28*F27</f>
        <v>246455.77828476406</v>
      </c>
      <c r="G29" s="497">
        <f>+G28*G27</f>
        <v>229543.16020162051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>
      <c r="A33" s="457"/>
      <c r="B33" s="452"/>
      <c r="C33" s="496">
        <f>+'COMMUNITY SERV'!Q74</f>
        <v>8.1692140833720313</v>
      </c>
      <c r="D33" s="497"/>
      <c r="E33" s="497">
        <f>+'COMMUNITY SERV'!Q85</f>
        <v>5.4752893314315072</v>
      </c>
      <c r="F33" s="497"/>
      <c r="G33" s="497"/>
      <c r="H33" s="497">
        <f>+'COMMUNITY SERV'!Q92</f>
        <v>14.252467183910817</v>
      </c>
      <c r="I33" s="497">
        <f>+'COMMUNITY SERV'!Q98</f>
        <v>29.395424973317088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>
      <c r="A35" s="450" t="s">
        <v>73</v>
      </c>
      <c r="B35" s="451">
        <f>+'COMMUNITY SERV'!O100</f>
        <v>6182541.3654798409</v>
      </c>
      <c r="C35" s="498">
        <f>+C34*C33</f>
        <v>2532456.3658453296</v>
      </c>
      <c r="D35" s="499"/>
      <c r="E35" s="499">
        <f>+E34*E33</f>
        <v>972411.38526223565</v>
      </c>
      <c r="F35" s="499"/>
      <c r="G35" s="499"/>
      <c r="H35" s="499">
        <f>+H34*H33</f>
        <v>1795810.8651727629</v>
      </c>
      <c r="I35" s="499">
        <f>+I34*I33</f>
        <v>881862.74919951265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>
      <c r="A36" s="459" t="s">
        <v>504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>
      <c r="A37" s="457" t="s">
        <v>70</v>
      </c>
      <c r="B37" s="451">
        <f t="shared" si="4"/>
        <v>3709524.8192879041</v>
      </c>
      <c r="C37" s="509">
        <f t="shared" ref="C37:I37" si="6">+C35*60%</f>
        <v>1519473.8195071977</v>
      </c>
      <c r="D37" s="510"/>
      <c r="E37" s="510">
        <f t="shared" si="6"/>
        <v>583446.83115734137</v>
      </c>
      <c r="F37" s="510"/>
      <c r="G37" s="510"/>
      <c r="H37" s="510">
        <f t="shared" si="6"/>
        <v>1077486.5191036577</v>
      </c>
      <c r="I37" s="510">
        <f t="shared" si="6"/>
        <v>529117.64951970754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>
      <c r="A38" s="459" t="s">
        <v>75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>
      <c r="A39" s="457" t="s">
        <v>68</v>
      </c>
      <c r="B39" s="451">
        <f t="shared" si="4"/>
        <v>1854762.409643952</v>
      </c>
      <c r="C39" s="496">
        <f>+C35*30%</f>
        <v>759736.90975359885</v>
      </c>
      <c r="D39" s="497"/>
      <c r="E39" s="497">
        <f>+E35*30%</f>
        <v>291723.41557867068</v>
      </c>
      <c r="F39" s="497"/>
      <c r="G39" s="497"/>
      <c r="H39" s="497">
        <f>+H35*30%</f>
        <v>538743.25955182884</v>
      </c>
      <c r="I39" s="497">
        <f>+I35*30%</f>
        <v>264558.82475985377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>
      <c r="A40" s="460" t="s">
        <v>505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>
      <c r="A41" s="457" t="s">
        <v>69</v>
      </c>
      <c r="B41" s="451">
        <f t="shared" si="4"/>
        <v>618254.13654798409</v>
      </c>
      <c r="C41" s="496">
        <f>+C35*10%</f>
        <v>253245.63658453297</v>
      </c>
      <c r="D41" s="497"/>
      <c r="E41" s="497">
        <f>+E35*10%</f>
        <v>97241.138526223571</v>
      </c>
      <c r="F41" s="497"/>
      <c r="G41" s="497"/>
      <c r="H41" s="497">
        <f>+H35*10%</f>
        <v>179581.0865172763</v>
      </c>
      <c r="I41" s="497">
        <f>+I35*10%</f>
        <v>88186.274919951276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+EEM!B50</f>
        <v>V0124</v>
      </c>
      <c r="G43" s="501" t="str">
        <f>+EEM!B57</f>
        <v>V0125</v>
      </c>
      <c r="H43" s="501"/>
      <c r="I43" s="501" t="str">
        <f>+EEM!B64</f>
        <v>V0170</v>
      </c>
      <c r="J43" s="501" t="str">
        <f>+EEM!B71</f>
        <v>V0171</v>
      </c>
      <c r="K43" s="501"/>
      <c r="L43" s="501" t="str">
        <f>+EEM!B78</f>
        <v>V0172</v>
      </c>
      <c r="M43" s="495"/>
      <c r="N43" s="495"/>
      <c r="O43" s="495"/>
      <c r="P43" s="495"/>
    </row>
    <row r="44" spans="1:21" s="431" customFormat="1" hidden="1">
      <c r="A44" s="457"/>
      <c r="B44" s="452"/>
      <c r="C44" s="496">
        <f>+EEM!Q9</f>
        <v>9.0233444217070868</v>
      </c>
      <c r="D44" s="497">
        <f>+EEM!Q24</f>
        <v>17.150137554708373</v>
      </c>
      <c r="E44" s="497">
        <f>+EEM!Q48</f>
        <v>5.743978599290263</v>
      </c>
      <c r="F44" s="497">
        <f>+EEM!Q54</f>
        <v>928.53993796121176</v>
      </c>
      <c r="G44" s="497">
        <f>+EEM!Q61</f>
        <v>2016.7346238963653</v>
      </c>
      <c r="H44" s="497"/>
      <c r="I44" s="497">
        <f>+EEM!Q69</f>
        <v>26.305470019213324</v>
      </c>
      <c r="J44" s="497">
        <f>+EEM!Q76</f>
        <v>36.992037920434107</v>
      </c>
      <c r="K44" s="497"/>
      <c r="L44" s="497">
        <f>+EEM!Q82</f>
        <v>46.994459057787985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>
      <c r="A45" s="457"/>
      <c r="B45" s="451">
        <f>+C45+D45+E45+F45+G45+H45+I45+J45+K45+L45</f>
        <v>703035</v>
      </c>
      <c r="C45" s="511">
        <f>+EEM!D9</f>
        <v>15000</v>
      </c>
      <c r="D45" s="512">
        <f>+EEM!D24</f>
        <v>138000</v>
      </c>
      <c r="E45" s="512">
        <f>+EEM!D48</f>
        <v>508000</v>
      </c>
      <c r="F45" s="512">
        <f>+EEM!D54</f>
        <v>10</v>
      </c>
      <c r="G45" s="512">
        <f>+EEM!D61</f>
        <v>25</v>
      </c>
      <c r="H45" s="512"/>
      <c r="I45" s="512">
        <f>+EEM!D69</f>
        <v>16000</v>
      </c>
      <c r="J45" s="512">
        <f>+EEM!D76</f>
        <v>16000</v>
      </c>
      <c r="K45" s="512"/>
      <c r="L45" s="512">
        <f>+EEM!D80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>
      <c r="A46" s="450" t="s">
        <v>73</v>
      </c>
      <c r="B46" s="452">
        <f>+EEM!O97</f>
        <v>6992732.0151883969</v>
      </c>
      <c r="C46" s="496">
        <f>+C44*C45</f>
        <v>135350.16632560629</v>
      </c>
      <c r="D46" s="497">
        <f t="shared" ref="D46:L46" si="7">+D44*D45</f>
        <v>2366718.9825497554</v>
      </c>
      <c r="E46" s="497">
        <f t="shared" si="7"/>
        <v>2917941.1284394534</v>
      </c>
      <c r="F46" s="497">
        <f t="shared" si="7"/>
        <v>9285.3993796121176</v>
      </c>
      <c r="G46" s="497">
        <f t="shared" si="7"/>
        <v>50418.365597409131</v>
      </c>
      <c r="H46" s="497"/>
      <c r="I46" s="497">
        <f t="shared" si="7"/>
        <v>420887.52030741319</v>
      </c>
      <c r="J46" s="497">
        <f t="shared" si="7"/>
        <v>591872.60672694573</v>
      </c>
      <c r="K46" s="497"/>
      <c r="L46" s="497">
        <f t="shared" si="7"/>
        <v>469944.59057787986</v>
      </c>
      <c r="M46" s="495"/>
      <c r="N46" s="495"/>
      <c r="O46" s="504"/>
      <c r="P46" s="495"/>
    </row>
    <row r="47" spans="1:21" s="437" customFormat="1" hidden="1">
      <c r="A47" s="461" t="s">
        <v>74</v>
      </c>
      <c r="B47" s="451">
        <f>+B45*70%</f>
        <v>492124.49999999994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355600</v>
      </c>
      <c r="F47" s="516">
        <f t="shared" si="8"/>
        <v>7</v>
      </c>
      <c r="G47" s="516">
        <f t="shared" si="8"/>
        <v>17.5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>
      <c r="A48" s="450" t="s">
        <v>71</v>
      </c>
      <c r="B48" s="452">
        <f>SUM(C48:L48)</f>
        <v>4873693.1319328519</v>
      </c>
      <c r="C48" s="515">
        <f t="shared" si="8"/>
        <v>94745.116427924397</v>
      </c>
      <c r="D48" s="516">
        <f t="shared" si="8"/>
        <v>1656703.2877848286</v>
      </c>
      <c r="E48" s="516">
        <f t="shared" si="8"/>
        <v>2042558.7899076173</v>
      </c>
      <c r="F48" s="516">
        <f t="shared" si="8"/>
        <v>6499.7795657284823</v>
      </c>
      <c r="G48" s="516">
        <f t="shared" si="8"/>
        <v>35292.855918186389</v>
      </c>
      <c r="H48" s="516"/>
      <c r="I48" s="516">
        <f t="shared" si="8"/>
        <v>294621.26421518921</v>
      </c>
      <c r="J48" s="516">
        <f t="shared" si="8"/>
        <v>414310.824708862</v>
      </c>
      <c r="K48" s="516"/>
      <c r="L48" s="516">
        <f>+L46*70%</f>
        <v>328961.21340451587</v>
      </c>
      <c r="M48" s="495"/>
      <c r="N48" s="495"/>
      <c r="O48" s="513"/>
      <c r="P48" s="513"/>
      <c r="Q48" s="514"/>
    </row>
    <row r="49" spans="1:21" s="437" customFormat="1" hidden="1">
      <c r="A49" s="461" t="s">
        <v>75</v>
      </c>
      <c r="B49" s="451">
        <f>+B45*30%</f>
        <v>210910.5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152400</v>
      </c>
      <c r="F49" s="516">
        <f t="shared" si="9"/>
        <v>3</v>
      </c>
      <c r="G49" s="516">
        <f t="shared" si="9"/>
        <v>7.5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>
      <c r="A50" s="450" t="s">
        <v>72</v>
      </c>
      <c r="B50" s="452">
        <f>SUM(C50:L50)</f>
        <v>2088725.6279712224</v>
      </c>
      <c r="C50" s="515">
        <f t="shared" si="9"/>
        <v>40605.049897681885</v>
      </c>
      <c r="D50" s="516">
        <f t="shared" si="9"/>
        <v>710015.69476492656</v>
      </c>
      <c r="E50" s="516">
        <f t="shared" si="9"/>
        <v>875382.33853183605</v>
      </c>
      <c r="F50" s="516">
        <f t="shared" si="9"/>
        <v>2785.6198138836353</v>
      </c>
      <c r="G50" s="516">
        <f t="shared" si="9"/>
        <v>15125.509679222738</v>
      </c>
      <c r="H50" s="516"/>
      <c r="I50" s="516">
        <f t="shared" si="9"/>
        <v>126266.25609222395</v>
      </c>
      <c r="J50" s="516">
        <f t="shared" si="9"/>
        <v>177561.7820180837</v>
      </c>
      <c r="K50" s="516"/>
      <c r="L50" s="516">
        <f>+L46*30%</f>
        <v>140983.37717336396</v>
      </c>
      <c r="M50" s="495"/>
      <c r="N50" s="495"/>
      <c r="O50" s="495"/>
      <c r="P50" s="495"/>
    </row>
    <row r="51" spans="1:21" hidden="1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>
      <c r="A53" s="457"/>
      <c r="B53" s="452"/>
      <c r="C53" s="496">
        <f>+CEM!Q16</f>
        <v>4.5356232047014755</v>
      </c>
      <c r="D53" s="497">
        <f>+CEM!Q23</f>
        <v>8.0261947804629798</v>
      </c>
      <c r="E53" s="497">
        <f>+CEM!Q31</f>
        <v>18.364213967083089</v>
      </c>
      <c r="F53" s="497">
        <f>+CEM!Q36</f>
        <v>32.850656408822111</v>
      </c>
      <c r="G53" s="497">
        <f>+CEM!Q41</f>
        <v>24.154099756748479</v>
      </c>
      <c r="H53" s="497">
        <f>+CEM!Q48</f>
        <v>26.990692415786853</v>
      </c>
      <c r="I53" s="497">
        <f>+CEM!Q55</f>
        <v>963.17955415666052</v>
      </c>
      <c r="J53" s="497">
        <f>+CEM!Q61</f>
        <v>372.61972066585952</v>
      </c>
      <c r="K53" s="497">
        <f>+CEM!Q67</f>
        <v>474.54821321008848</v>
      </c>
      <c r="L53" s="497">
        <f>+CEM!Q73</f>
        <v>32.430670160513074</v>
      </c>
      <c r="M53" s="497">
        <f>+CEM!Q81</f>
        <v>20.729376763591805</v>
      </c>
      <c r="N53" s="497">
        <f>+CEM!Q101</f>
        <v>265.07649151199115</v>
      </c>
      <c r="O53" s="497">
        <f>+CEM!Q111</f>
        <v>207.04694591054141</v>
      </c>
      <c r="P53" s="507"/>
      <c r="Q53" s="493"/>
      <c r="R53" s="493"/>
      <c r="S53" s="493"/>
      <c r="T53" s="427"/>
      <c r="U53" s="427"/>
    </row>
    <row r="54" spans="1:21" s="433" customFormat="1" hidden="1">
      <c r="A54" s="450"/>
      <c r="B54" s="451">
        <f>+C54+D54+E54+F54+G54+H54+I54+J54+K54+L54+M54+N54+O54</f>
        <v>309735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775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>
      <c r="A55" s="450" t="s">
        <v>76</v>
      </c>
      <c r="B55" s="452">
        <f>+CEM!O123</f>
        <v>9171206.9838663843</v>
      </c>
      <c r="C55" s="496">
        <f t="shared" ref="C55:H55" si="10">+C53*C54</f>
        <v>515700.35837455775</v>
      </c>
      <c r="D55" s="497">
        <f t="shared" si="10"/>
        <v>321047.79121851921</v>
      </c>
      <c r="E55" s="497">
        <f t="shared" si="10"/>
        <v>606019.06091374194</v>
      </c>
      <c r="F55" s="497">
        <f t="shared" si="10"/>
        <v>328506.56408822112</v>
      </c>
      <c r="G55" s="497">
        <f t="shared" si="10"/>
        <v>483081.99513496959</v>
      </c>
      <c r="H55" s="497">
        <f t="shared" si="10"/>
        <v>809720.77247360558</v>
      </c>
      <c r="I55" s="497">
        <f>I54*I53</f>
        <v>2889538.6624699817</v>
      </c>
      <c r="J55" s="497">
        <f t="shared" ref="J55:O55" si="11">+J53*J54</f>
        <v>745239.44133171905</v>
      </c>
      <c r="K55" s="497">
        <f t="shared" si="11"/>
        <v>949096.42642017698</v>
      </c>
      <c r="L55" s="497">
        <f t="shared" si="11"/>
        <v>486460.05240769609</v>
      </c>
      <c r="M55" s="497">
        <f t="shared" si="11"/>
        <v>829175.07054367219</v>
      </c>
      <c r="N55" s="497">
        <f t="shared" si="11"/>
        <v>205434.28092179314</v>
      </c>
      <c r="O55" s="497">
        <f t="shared" si="11"/>
        <v>53832.205936740764</v>
      </c>
      <c r="P55" s="495"/>
      <c r="Q55" s="493"/>
      <c r="R55" s="493"/>
      <c r="S55" s="493"/>
      <c r="T55" s="427"/>
      <c r="U55" s="427"/>
    </row>
    <row r="56" spans="1:21" hidden="1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>
      <c r="A58" s="450"/>
      <c r="B58" s="452"/>
      <c r="C58" s="496">
        <f>+CEM!Q128</f>
        <v>82.819096052033856</v>
      </c>
      <c r="D58" s="497">
        <f>+CEM!Q9</f>
        <v>5.8597864170750622</v>
      </c>
      <c r="E58" s="497">
        <f>+CEM!Q23</f>
        <v>8.0261947804629798</v>
      </c>
      <c r="F58" s="497">
        <f>+CEM!Q31</f>
        <v>18.364213967083089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>
      <c r="A60" s="450" t="s">
        <v>77</v>
      </c>
      <c r="B60" s="452">
        <f>+CEM!O130</f>
        <v>591710.63040290808</v>
      </c>
      <c r="C60" s="496">
        <f>+C59*C58</f>
        <v>8281.9096052033856</v>
      </c>
      <c r="D60" s="497">
        <f>+D59*D58</f>
        <v>292989.32085375313</v>
      </c>
      <c r="E60" s="497">
        <f>+E59*E58</f>
        <v>80261.947804629803</v>
      </c>
      <c r="F60" s="497">
        <f>+F59*F58</f>
        <v>146913.7117366647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>
      <c r="A63" s="462"/>
      <c r="B63" s="463"/>
      <c r="C63" s="496">
        <f>+MDC!Q18</f>
        <v>6.1865017353335343</v>
      </c>
      <c r="D63" s="497">
        <f>+MDC!Q25</f>
        <v>7.0061786926915977</v>
      </c>
      <c r="E63" s="497">
        <f>+MDC!Q30</f>
        <v>18.888763945789133</v>
      </c>
      <c r="F63" s="497">
        <f>+MDC!Q35</f>
        <v>27.047643278309302</v>
      </c>
      <c r="G63" s="497">
        <f>+MDC!Q40</f>
        <v>22.220783799011176</v>
      </c>
      <c r="H63" s="497">
        <f>+MDC!Q45</f>
        <v>20.089360818668258</v>
      </c>
      <c r="I63" s="497">
        <f>+MDC!Q52</f>
        <v>218.12571897068622</v>
      </c>
      <c r="J63" s="497">
        <f>+MDC!Q58</f>
        <v>55.50224578652697</v>
      </c>
      <c r="K63" s="497">
        <f>+MDC!Q64</f>
        <v>24.815373744666879</v>
      </c>
      <c r="L63" s="497">
        <f>+MDC!Q79</f>
        <v>10.64236206928161</v>
      </c>
      <c r="M63" s="497">
        <f>+MDC!Q85</f>
        <v>27.679811988754519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>
      <c r="A65" s="464" t="s">
        <v>81</v>
      </c>
      <c r="B65" s="465">
        <f>+C65+D65+E65+F65+G65+H65+I65+J65+K65+L65+M65</f>
        <v>5504605.5131246382</v>
      </c>
      <c r="C65" s="526">
        <f>+C67+C69+C71</f>
        <v>1336284.3748320434</v>
      </c>
      <c r="D65" s="527">
        <f t="shared" ref="D65:K65" si="13">+D67+D69+D71</f>
        <v>315278.04117112188</v>
      </c>
      <c r="E65" s="527">
        <f t="shared" si="13"/>
        <v>283331.45918683702</v>
      </c>
      <c r="F65" s="527">
        <f t="shared" si="13"/>
        <v>405714.64917463955</v>
      </c>
      <c r="G65" s="527">
        <f t="shared" si="13"/>
        <v>555519.59497527941</v>
      </c>
      <c r="H65" s="527">
        <f t="shared" si="13"/>
        <v>703127.62865338905</v>
      </c>
      <c r="I65" s="527">
        <f t="shared" si="13"/>
        <v>65437.715691205864</v>
      </c>
      <c r="J65" s="527">
        <f t="shared" si="13"/>
        <v>16650.673735958091</v>
      </c>
      <c r="K65" s="527">
        <f t="shared" si="13"/>
        <v>620384.34361667198</v>
      </c>
      <c r="L65" s="527">
        <f>+L67+L69+L71</f>
        <v>372482.67242485634</v>
      </c>
      <c r="M65" s="527">
        <f>+M67+M69+M71</f>
        <v>830394.3596626356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>
      <c r="A67" s="450" t="s">
        <v>78</v>
      </c>
      <c r="B67" s="452">
        <f t="shared" si="14"/>
        <v>4015540.4192791935</v>
      </c>
      <c r="C67" s="496">
        <f>+C66*C63</f>
        <v>791872.22212269239</v>
      </c>
      <c r="D67" s="497">
        <f>+D66*D63</f>
        <v>315278.04117112188</v>
      </c>
      <c r="E67" s="497">
        <f>+E66*E63</f>
        <v>283331.45918683702</v>
      </c>
      <c r="F67" s="497">
        <f>+F66*F63</f>
        <v>405714.64917463955</v>
      </c>
      <c r="G67" s="497"/>
      <c r="H67" s="497">
        <f>+H66*H63</f>
        <v>703127.62865338905</v>
      </c>
      <c r="I67" s="497">
        <f>+I66*I63</f>
        <v>65437.715691205864</v>
      </c>
      <c r="J67" s="497"/>
      <c r="K67" s="497">
        <f>+K66*K63</f>
        <v>620384.34361667198</v>
      </c>
      <c r="L67" s="497">
        <f>+L66*L63</f>
        <v>0</v>
      </c>
      <c r="M67" s="497">
        <f>+M66*M63</f>
        <v>830394.3596626356</v>
      </c>
      <c r="N67" s="495"/>
      <c r="O67" s="495"/>
      <c r="P67" s="495"/>
    </row>
    <row r="68" spans="1:47" s="433" customFormat="1" hidden="1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>
      <c r="A69" s="450" t="s">
        <v>79</v>
      </c>
      <c r="B69" s="452">
        <f>+C69+D69+E69+F69+G69+H69+I69+J69+K69+L69+M69</f>
        <v>371190.10412001208</v>
      </c>
      <c r="C69" s="496">
        <f>+C68*C63</f>
        <v>371190.10412001208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2" thickBot="1">
      <c r="A71" s="466" t="s">
        <v>80</v>
      </c>
      <c r="B71" s="467">
        <f t="shared" si="14"/>
        <v>1117874.9897254328</v>
      </c>
      <c r="C71" s="496">
        <f>+C70*C63</f>
        <v>173222.04858933896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555519.59497527941</v>
      </c>
      <c r="H71" s="497">
        <f t="shared" si="16"/>
        <v>0</v>
      </c>
      <c r="I71" s="497">
        <f t="shared" si="16"/>
        <v>0</v>
      </c>
      <c r="J71" s="497">
        <f t="shared" si="16"/>
        <v>16650.673735958091</v>
      </c>
      <c r="K71" s="497">
        <f t="shared" si="16"/>
        <v>0</v>
      </c>
      <c r="L71" s="497">
        <f t="shared" si="16"/>
        <v>372482.67242485634</v>
      </c>
      <c r="M71" s="497">
        <f t="shared" si="16"/>
        <v>0</v>
      </c>
      <c r="N71" s="495"/>
      <c r="O71" s="495"/>
      <c r="P71" s="495"/>
    </row>
    <row r="72" spans="1:47" s="428" customFormat="1" ht="16.2" thickBot="1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>
      <c r="A73" s="468" t="s">
        <v>82</v>
      </c>
      <c r="B73" s="469">
        <f>+B6+B17+B22+B24+B29+B35+B46+B55+B60</f>
        <v>26274539.468284614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82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>
      <c r="A74" s="470" t="s">
        <v>83</v>
      </c>
      <c r="B74" s="471">
        <f>+B65</f>
        <v>5504605.5131246382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5504605.5131246382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83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2" thickBot="1">
      <c r="A76" s="472" t="s">
        <v>84</v>
      </c>
      <c r="B76" s="473">
        <f>SUM(B73:B75)</f>
        <v>31779144.981409252</v>
      </c>
      <c r="C76" s="507">
        <v>26176165</v>
      </c>
      <c r="D76" s="495"/>
      <c r="E76" s="531"/>
      <c r="F76" s="495">
        <f>CEM!O145</f>
        <v>31779144.981409252</v>
      </c>
      <c r="G76" s="531">
        <f>B76-F76</f>
        <v>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1588957.2490704628</v>
      </c>
      <c r="X76" s="413" t="s">
        <v>84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31779144.981409252</v>
      </c>
      <c r="AQ76" s="413">
        <v>1186266.5451</v>
      </c>
      <c r="AS76" s="413">
        <v>1497629.8138968898</v>
      </c>
      <c r="AU76" s="413">
        <v>31749752.054614067</v>
      </c>
    </row>
    <row r="77" spans="1:47">
      <c r="A77" s="445"/>
      <c r="B77" s="540">
        <f>+B76</f>
        <v>31779144.981409252</v>
      </c>
      <c r="C77" s="507">
        <f>+C76-B76</f>
        <v>-5602979.9814092517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-29392.926795184612</v>
      </c>
      <c r="AQ77" s="413">
        <v>27547745.325100001</v>
      </c>
      <c r="AS77" s="413">
        <v>27484973.77</v>
      </c>
    </row>
    <row r="78" spans="1:47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>
      <c r="B79" s="431">
        <f>+B78-B77</f>
        <v>-4294171.2114092521</v>
      </c>
      <c r="T79" s="427">
        <f>+T77-B76</f>
        <v>-4231399.6563092507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>
      <c r="B80" s="431"/>
    </row>
  </sheetData>
  <customSheetViews>
    <customSheetView guid="{08F29437-BBE1-46C0-B84C-12B7ABEF1718}" hiddenRows="1" hiddenColumns="1" topLeftCell="A17">
      <selection activeCell="B73" sqref="B73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6C0BD6A7-6718-429D-82D9-D2FE0341EA2C}" showPageBreaks="1" printArea="1" hiddenRows="1" hiddenColumns="1" topLeftCell="A39">
      <selection activeCell="A74" sqref="A74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Rows="1" hiddenColumns="1" topLeftCell="A17">
      <selection activeCell="B73" sqref="B73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C18" sqref="C18"/>
    </sheetView>
  </sheetViews>
  <sheetFormatPr defaultColWidth="9.21875" defaultRowHeight="10.199999999999999"/>
  <cols>
    <col min="1" max="1" width="20.21875" style="2" bestFit="1" customWidth="1"/>
    <col min="2" max="2" width="11.77734375" style="15" bestFit="1" customWidth="1"/>
    <col min="3" max="3" width="12.44140625" style="15" bestFit="1" customWidth="1"/>
    <col min="4" max="5" width="9.21875" style="15"/>
    <col min="6" max="6" width="14" style="15" bestFit="1" customWidth="1"/>
    <col min="7" max="16384" width="9.21875" style="2"/>
  </cols>
  <sheetData>
    <row r="1" spans="1:6">
      <c r="A1" s="1" t="s">
        <v>1495</v>
      </c>
    </row>
    <row r="2" spans="1:6">
      <c r="A2" s="59">
        <v>-0.22500000000000001</v>
      </c>
    </row>
    <row r="3" spans="1:6">
      <c r="A3" s="59"/>
    </row>
    <row r="4" spans="1:6">
      <c r="A4" s="15">
        <v>22</v>
      </c>
    </row>
    <row r="6" spans="1:6">
      <c r="A6" s="15">
        <v>1000000</v>
      </c>
      <c r="B6" s="15">
        <v>692568.67</v>
      </c>
    </row>
    <row r="8" spans="1:6">
      <c r="A8" s="60">
        <f>+CEM!M145</f>
        <v>30783053.559587173</v>
      </c>
      <c r="F8" s="15">
        <v>28863677.079358432</v>
      </c>
    </row>
    <row r="9" spans="1:6">
      <c r="A9" s="65"/>
    </row>
    <row r="10" spans="1:6">
      <c r="A10" s="65"/>
    </row>
    <row r="11" spans="1:6">
      <c r="A11" s="65">
        <v>24467288.18</v>
      </c>
      <c r="B11" s="15">
        <v>4.4999999999999998E-2</v>
      </c>
    </row>
    <row r="12" spans="1:6">
      <c r="A12" s="9"/>
    </row>
    <row r="13" spans="1:6">
      <c r="A13" s="9"/>
    </row>
    <row r="18" spans="2:7">
      <c r="C18" s="533">
        <v>0.05</v>
      </c>
    </row>
    <row r="19" spans="2:7">
      <c r="B19" s="15">
        <v>738</v>
      </c>
      <c r="C19" s="15">
        <f>+B19*C18</f>
        <v>36.9</v>
      </c>
      <c r="D19" s="15">
        <f>+C19+B19</f>
        <v>774.9</v>
      </c>
    </row>
    <row r="20" spans="2:7">
      <c r="B20" s="15">
        <v>738</v>
      </c>
    </row>
    <row r="24" spans="2:7">
      <c r="G24" s="2">
        <v>3101</v>
      </c>
    </row>
    <row r="25" spans="2:7">
      <c r="G25" s="2">
        <v>7.16</v>
      </c>
    </row>
    <row r="26" spans="2:7">
      <c r="G26" s="2">
        <v>5.5</v>
      </c>
    </row>
    <row r="27" spans="2:7">
      <c r="G27" s="2">
        <f>+G24/G25</f>
        <v>433.10055865921788</v>
      </c>
    </row>
    <row r="28" spans="2:7">
      <c r="G28" s="2">
        <f>+G27*12.8</f>
        <v>5543.6871508379891</v>
      </c>
    </row>
  </sheetData>
  <customSheetViews>
    <customSheetView guid="{08F29437-BBE1-46C0-B84C-12B7ABEF1718}">
      <selection activeCell="C18" sqref="C18"/>
      <pageMargins left="0.75" right="0.75" top="1" bottom="1" header="0.5" footer="0.5"/>
      <pageSetup paperSize="9" orientation="portrait" r:id="rId1"/>
      <headerFooter alignWithMargins="0"/>
    </customSheetView>
    <customSheetView guid="{6C0BD6A7-6718-429D-82D9-D2FE0341EA2C}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3"/>
      <headerFooter alignWithMargins="0"/>
    </customSheetView>
    <customSheetView guid="{DF69299D-7752-4436-A45D-28F739CEE21B}">
      <selection activeCell="C18" sqref="C18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Arnold Mathebula</cp:lastModifiedBy>
  <cp:lastPrinted>2019-03-08T12:13:13Z</cp:lastPrinted>
  <dcterms:created xsi:type="dcterms:W3CDTF">2005-10-06T12:29:26Z</dcterms:created>
  <dcterms:modified xsi:type="dcterms:W3CDTF">2022-03-16T07:38:42Z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2022-02-28T10:46:57Z</vt:lpwstr>
  </property>
  <property fmtid="{D5CDD505-2E9C-101B-9397-08002B2CF9AE}" pid="4" name="MSIP_Label_616f4fcd-8401-41c8-bfac-a60235e9eb06_Method">
    <vt:lpwstr>Privileged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375e7c46-82ee-43cf-8b09-98bf5e3c3712</vt:lpwstr>
  </property>
  <property fmtid="{D5CDD505-2E9C-101B-9397-08002B2CF9AE}" pid="8" name="MSIP_Label_616f4fcd-8401-41c8-bfac-a60235e9eb06_ContentBits">
    <vt:lpwstr>0</vt:lpwstr>
  </property>
</Properties>
</file>